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06"/>
  <workbookPr date1904="1" showInkAnnotation="0" autoCompressPictures="0"/>
  <bookViews>
    <workbookView xWindow="20" yWindow="200" windowWidth="31200" windowHeight="13380" tabRatio="801"/>
  </bookViews>
  <sheets>
    <sheet name="Overview" sheetId="19" r:id="rId1"/>
    <sheet name="Savanna" sheetId="11" r:id="rId2"/>
    <sheet name="Tropical Forest" sheetId="13" r:id="rId3"/>
    <sheet name="Temperate Forest" sheetId="12" r:id="rId4"/>
    <sheet name="Boreal Forest" sheetId="10" r:id="rId5"/>
    <sheet name="Pasture" sheetId="16" r:id="rId6"/>
    <sheet name="Shifting Cultivation" sheetId="20" r:id="rId7"/>
    <sheet name="Crop Residue" sheetId="15" r:id="rId8"/>
    <sheet name="Chaparral" sheetId="17" r:id="rId9"/>
    <sheet name="Tropical Peat" sheetId="14" r:id="rId10"/>
    <sheet name="Boreal Peat" sheetId="3" r:id="rId11"/>
    <sheet name="Tundra" sheetId="1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6" i="10" l="1"/>
  <c r="N270" i="10"/>
  <c r="N475" i="10"/>
  <c r="L215" i="12"/>
  <c r="J215" i="12"/>
  <c r="N334" i="11"/>
  <c r="N356" i="11"/>
  <c r="N933" i="11"/>
  <c r="H11" i="19"/>
  <c r="J24" i="17"/>
  <c r="K22" i="17"/>
  <c r="K23" i="17"/>
  <c r="K24" i="17"/>
  <c r="J22" i="17"/>
  <c r="J23" i="17"/>
  <c r="N22" i="17"/>
  <c r="L24" i="17"/>
  <c r="M611" i="13"/>
  <c r="N611" i="13"/>
  <c r="O611" i="13"/>
  <c r="L611" i="13"/>
  <c r="K611" i="13"/>
  <c r="J611" i="13"/>
  <c r="J602" i="13"/>
  <c r="M212" i="12"/>
  <c r="N212" i="12"/>
  <c r="O212" i="12"/>
  <c r="L212" i="12"/>
  <c r="K212" i="12"/>
  <c r="J212" i="12"/>
  <c r="J205" i="12"/>
  <c r="J15" i="14"/>
  <c r="J45" i="14"/>
  <c r="J607" i="13"/>
  <c r="J15" i="15"/>
  <c r="J31" i="15"/>
  <c r="K61" i="15"/>
  <c r="J61" i="15"/>
  <c r="J604" i="13"/>
  <c r="N604" i="13"/>
  <c r="L604" i="13"/>
  <c r="N602" i="13"/>
  <c r="N209" i="12"/>
  <c r="N207" i="12"/>
  <c r="N206" i="12"/>
  <c r="N205" i="12"/>
  <c r="N608" i="13"/>
  <c r="N215" i="12"/>
  <c r="N9" i="13"/>
  <c r="N19" i="13"/>
  <c r="N29" i="13"/>
  <c r="N90" i="13"/>
  <c r="N106" i="13"/>
  <c r="N122" i="13"/>
  <c r="N141" i="13"/>
  <c r="N157" i="13"/>
  <c r="N173" i="13"/>
  <c r="N203" i="13"/>
  <c r="N218" i="13"/>
  <c r="N233" i="13"/>
  <c r="N331" i="13"/>
  <c r="N361" i="13"/>
  <c r="N391" i="13"/>
  <c r="N519" i="13"/>
  <c r="N536" i="13"/>
  <c r="N553" i="13"/>
  <c r="N35" i="13"/>
  <c r="N179" i="13"/>
  <c r="N240" i="13"/>
  <c r="N255" i="13"/>
  <c r="N267" i="13"/>
  <c r="N419" i="13"/>
  <c r="N431" i="13"/>
  <c r="N438" i="13"/>
  <c r="N445" i="13"/>
  <c r="N452" i="13"/>
  <c r="N459" i="13"/>
  <c r="N466" i="13"/>
  <c r="J476" i="13"/>
  <c r="N476" i="13"/>
  <c r="N487" i="13"/>
  <c r="N496" i="13"/>
  <c r="O622" i="13"/>
  <c r="N622" i="13"/>
  <c r="L29" i="13"/>
  <c r="L90" i="13"/>
  <c r="L106" i="13"/>
  <c r="L122" i="13"/>
  <c r="L141" i="13"/>
  <c r="L157" i="13"/>
  <c r="L173" i="13"/>
  <c r="L203" i="13"/>
  <c r="L233" i="13"/>
  <c r="L313" i="13"/>
  <c r="L331" i="13"/>
  <c r="L346" i="13"/>
  <c r="L361" i="13"/>
  <c r="L376" i="13"/>
  <c r="L391" i="13"/>
  <c r="L409" i="13"/>
  <c r="L553" i="13"/>
  <c r="L35" i="13"/>
  <c r="L255" i="13"/>
  <c r="L419" i="13"/>
  <c r="L466" i="13"/>
  <c r="L487" i="13"/>
  <c r="M622" i="13"/>
  <c r="L622" i="13"/>
  <c r="J29" i="13"/>
  <c r="J122" i="13"/>
  <c r="J173" i="13"/>
  <c r="J233" i="13"/>
  <c r="J391" i="13"/>
  <c r="J553" i="13"/>
  <c r="J466" i="13"/>
  <c r="K622" i="13"/>
  <c r="J622" i="13"/>
  <c r="J228" i="13"/>
  <c r="J229" i="13"/>
  <c r="J230" i="13"/>
  <c r="J231" i="13"/>
  <c r="J30" i="13"/>
  <c r="J73" i="13"/>
  <c r="J123" i="13"/>
  <c r="J174" i="13"/>
  <c r="J394" i="13"/>
  <c r="J554" i="13"/>
  <c r="J623" i="13"/>
  <c r="K59" i="15"/>
  <c r="I10" i="19"/>
  <c r="L15" i="15"/>
  <c r="L31" i="15"/>
  <c r="L59" i="15"/>
  <c r="J10" i="19"/>
  <c r="M59" i="15"/>
  <c r="K10" i="19"/>
  <c r="L10" i="19"/>
  <c r="M10" i="19"/>
  <c r="I11" i="19"/>
  <c r="J11" i="19"/>
  <c r="K11" i="19"/>
  <c r="L11" i="19"/>
  <c r="M11" i="19"/>
  <c r="N29" i="14"/>
  <c r="N15" i="14"/>
  <c r="K43" i="14"/>
  <c r="I12" i="19"/>
  <c r="J12" i="19"/>
  <c r="K12" i="19"/>
  <c r="N41" i="14"/>
  <c r="N42" i="14"/>
  <c r="N43" i="14"/>
  <c r="L12" i="19"/>
  <c r="O41" i="14"/>
  <c r="O42" i="14"/>
  <c r="O43" i="14"/>
  <c r="M12" i="19"/>
  <c r="I13" i="19"/>
  <c r="J13" i="19"/>
  <c r="K13" i="19"/>
  <c r="L13" i="19"/>
  <c r="M13" i="19"/>
  <c r="I14" i="19"/>
  <c r="J14" i="19"/>
  <c r="K14" i="19"/>
  <c r="L14" i="19"/>
  <c r="M14" i="19"/>
  <c r="H14" i="19"/>
  <c r="H13" i="19"/>
  <c r="J43" i="14"/>
  <c r="H12" i="19"/>
  <c r="J59" i="15"/>
  <c r="H10" i="19"/>
  <c r="I9" i="19"/>
  <c r="J9" i="19"/>
  <c r="K9" i="19"/>
  <c r="L9" i="19"/>
  <c r="M9" i="19"/>
  <c r="H9" i="19"/>
  <c r="J55" i="19"/>
  <c r="I55" i="19"/>
  <c r="H55" i="19"/>
  <c r="O215" i="12"/>
  <c r="M215" i="12"/>
  <c r="K215" i="12"/>
  <c r="N39" i="12"/>
  <c r="N82" i="12"/>
  <c r="N95" i="12"/>
  <c r="N103" i="12"/>
  <c r="N111" i="12"/>
  <c r="N38" i="12"/>
  <c r="N83" i="12"/>
  <c r="N102" i="12"/>
  <c r="N110" i="12"/>
  <c r="N214" i="12"/>
  <c r="N43" i="12"/>
  <c r="J73" i="12"/>
  <c r="N73" i="12"/>
  <c r="N85" i="12"/>
  <c r="N96" i="12"/>
  <c r="N104" i="12"/>
  <c r="N112" i="12"/>
  <c r="N50" i="12"/>
  <c r="N56" i="12"/>
  <c r="N62" i="12"/>
  <c r="N123" i="12"/>
  <c r="N135" i="12"/>
  <c r="N143" i="12"/>
  <c r="N150" i="12"/>
  <c r="N178" i="12"/>
  <c r="N175" i="12"/>
  <c r="N172" i="12"/>
  <c r="N169" i="12"/>
  <c r="N166" i="12"/>
  <c r="N163" i="12"/>
  <c r="N160" i="12"/>
  <c r="J38" i="12"/>
  <c r="J110" i="12"/>
  <c r="J214" i="12"/>
  <c r="J43" i="12"/>
  <c r="J112" i="12"/>
  <c r="J62" i="12"/>
  <c r="J123" i="12"/>
  <c r="J135" i="12"/>
  <c r="J143" i="12"/>
  <c r="J150" i="12"/>
  <c r="J209" i="12"/>
  <c r="N186" i="12"/>
  <c r="O209" i="12"/>
  <c r="L13" i="12"/>
  <c r="L23" i="12"/>
  <c r="L33" i="12"/>
  <c r="L43" i="12"/>
  <c r="L96" i="12"/>
  <c r="L104" i="12"/>
  <c r="L112" i="12"/>
  <c r="L62" i="12"/>
  <c r="L123" i="12"/>
  <c r="L135" i="12"/>
  <c r="L143" i="12"/>
  <c r="L150" i="12"/>
  <c r="M209" i="12"/>
  <c r="L209" i="12"/>
  <c r="K209" i="12"/>
  <c r="J160" i="12"/>
  <c r="J163" i="12"/>
  <c r="J166" i="12"/>
  <c r="J169" i="12"/>
  <c r="J172" i="12"/>
  <c r="J175" i="12"/>
  <c r="J178" i="12"/>
  <c r="J210" i="12"/>
  <c r="O207" i="12"/>
  <c r="L178" i="12"/>
  <c r="L175" i="12"/>
  <c r="L172" i="12"/>
  <c r="L169" i="12"/>
  <c r="L166" i="12"/>
  <c r="L163" i="12"/>
  <c r="L160" i="12"/>
  <c r="M207" i="12"/>
  <c r="L207" i="12"/>
  <c r="K207" i="12"/>
  <c r="J207" i="12"/>
  <c r="O206" i="12"/>
  <c r="M206" i="12"/>
  <c r="L206" i="12"/>
  <c r="K206" i="12"/>
  <c r="J206" i="12"/>
  <c r="L205" i="12"/>
  <c r="K205" i="12"/>
  <c r="O205" i="12"/>
  <c r="M205" i="12"/>
  <c r="O150" i="12"/>
  <c r="O143" i="12"/>
  <c r="M143" i="12"/>
  <c r="K143" i="12"/>
  <c r="L476" i="10"/>
  <c r="M476" i="10"/>
  <c r="M475" i="10"/>
  <c r="L475" i="10"/>
  <c r="K476" i="10"/>
  <c r="J476" i="10"/>
  <c r="J475" i="10"/>
  <c r="K475" i="10"/>
  <c r="M477" i="10"/>
  <c r="L477" i="10"/>
  <c r="K477" i="10"/>
  <c r="J477" i="10"/>
  <c r="O476" i="10"/>
  <c r="N476" i="10"/>
  <c r="O477" i="10"/>
  <c r="N477" i="10"/>
  <c r="O475" i="10"/>
  <c r="N22" i="20"/>
  <c r="J22" i="20"/>
  <c r="J153" i="16"/>
  <c r="N153" i="16"/>
  <c r="N152" i="16"/>
  <c r="M24" i="17"/>
  <c r="M23" i="17"/>
  <c r="M22" i="17"/>
  <c r="L23" i="17"/>
  <c r="L22" i="17"/>
  <c r="O24" i="17"/>
  <c r="O23" i="17"/>
  <c r="O22" i="17"/>
  <c r="N24" i="17"/>
  <c r="N23" i="17"/>
  <c r="L16" i="17"/>
  <c r="N16" i="17"/>
  <c r="J16" i="17"/>
  <c r="N4" i="17"/>
  <c r="K24" i="20"/>
  <c r="L24" i="20"/>
  <c r="M24" i="20"/>
  <c r="N24" i="20"/>
  <c r="O24" i="20"/>
  <c r="J24" i="20"/>
  <c r="K23" i="20"/>
  <c r="L23" i="20"/>
  <c r="M23" i="20"/>
  <c r="N23" i="20"/>
  <c r="O23" i="20"/>
  <c r="J23" i="20"/>
  <c r="L22" i="20"/>
  <c r="N16" i="16"/>
  <c r="N46" i="16"/>
  <c r="N59" i="16"/>
  <c r="N72" i="16"/>
  <c r="N76" i="16"/>
  <c r="N96" i="16"/>
  <c r="N113" i="16"/>
  <c r="N130" i="16"/>
  <c r="O156" i="16"/>
  <c r="N156" i="16"/>
  <c r="L16" i="16"/>
  <c r="L32" i="16"/>
  <c r="L46" i="16"/>
  <c r="L59" i="16"/>
  <c r="L72" i="16"/>
  <c r="L130" i="16"/>
  <c r="M156" i="16"/>
  <c r="L156" i="16"/>
  <c r="J72" i="16"/>
  <c r="J130" i="16"/>
  <c r="J142" i="16"/>
  <c r="K156" i="16"/>
  <c r="J156" i="16"/>
  <c r="J152" i="16"/>
  <c r="N13" i="11"/>
  <c r="N25" i="11"/>
  <c r="N37" i="11"/>
  <c r="N49" i="11"/>
  <c r="N61" i="11"/>
  <c r="N73" i="11"/>
  <c r="N85" i="11"/>
  <c r="N97" i="11"/>
  <c r="N109" i="11"/>
  <c r="N121" i="11"/>
  <c r="N134" i="11"/>
  <c r="N171" i="11"/>
  <c r="N191" i="11"/>
  <c r="N194" i="11"/>
  <c r="N197" i="11"/>
  <c r="N200" i="11"/>
  <c r="N203" i="11"/>
  <c r="N206" i="11"/>
  <c r="N209" i="11"/>
  <c r="N281" i="11"/>
  <c r="N294" i="11"/>
  <c r="N302" i="11"/>
  <c r="N361" i="11"/>
  <c r="N370" i="11"/>
  <c r="N376" i="11"/>
  <c r="N425" i="11"/>
  <c r="N432" i="11"/>
  <c r="N435" i="11"/>
  <c r="N438" i="11"/>
  <c r="N441" i="11"/>
  <c r="N444" i="11"/>
  <c r="N447" i="11"/>
  <c r="N450" i="11"/>
  <c r="N457" i="11"/>
  <c r="N479" i="11"/>
  <c r="N495" i="11"/>
  <c r="N916" i="11"/>
  <c r="N43" i="10"/>
  <c r="N59" i="10"/>
  <c r="N75" i="10"/>
  <c r="N76" i="10"/>
  <c r="N77" i="10"/>
  <c r="N233" i="10"/>
  <c r="N316" i="10"/>
  <c r="N332" i="10"/>
  <c r="N363" i="10"/>
  <c r="N389" i="10"/>
  <c r="N395" i="10"/>
  <c r="N401" i="10"/>
  <c r="N408" i="10"/>
  <c r="N409" i="10"/>
  <c r="N410" i="10"/>
  <c r="J43" i="10"/>
  <c r="J59" i="10"/>
  <c r="J75" i="10"/>
  <c r="J76" i="10"/>
  <c r="J77" i="10"/>
  <c r="J233" i="10"/>
  <c r="J316" i="10"/>
  <c r="J332" i="10"/>
  <c r="J363" i="10"/>
  <c r="J389" i="10"/>
  <c r="J395" i="10"/>
  <c r="J401" i="10"/>
  <c r="J228" i="10"/>
  <c r="J229" i="10"/>
  <c r="J230" i="10"/>
  <c r="J231" i="10"/>
  <c r="J232" i="10"/>
  <c r="J449" i="10"/>
  <c r="J465" i="10"/>
  <c r="J479" i="10"/>
  <c r="J223" i="10"/>
  <c r="J224" i="10"/>
  <c r="J225" i="10"/>
  <c r="J226" i="10"/>
  <c r="J227" i="10"/>
  <c r="J250" i="10"/>
  <c r="J254" i="10"/>
  <c r="J258" i="10"/>
  <c r="J262" i="10"/>
  <c r="J266" i="10"/>
  <c r="J270" i="10"/>
  <c r="J315" i="10"/>
  <c r="J330" i="10"/>
  <c r="J361" i="10"/>
  <c r="J387" i="10"/>
  <c r="J453" i="10"/>
  <c r="J469" i="10"/>
  <c r="J480" i="10"/>
  <c r="J222" i="10"/>
  <c r="J243" i="10"/>
  <c r="J277" i="10"/>
  <c r="J331" i="10"/>
  <c r="J362" i="10"/>
  <c r="J388" i="10"/>
  <c r="J481" i="10"/>
  <c r="L75" i="10"/>
  <c r="L103" i="10"/>
  <c r="L115" i="10"/>
  <c r="L127" i="10"/>
  <c r="L139" i="10"/>
  <c r="L151" i="10"/>
  <c r="L163" i="10"/>
  <c r="L175" i="10"/>
  <c r="L187" i="10"/>
  <c r="L199" i="10"/>
  <c r="L211" i="10"/>
  <c r="L223" i="10"/>
  <c r="L104" i="10"/>
  <c r="L116" i="10"/>
  <c r="L128" i="10"/>
  <c r="L140" i="10"/>
  <c r="L152" i="10"/>
  <c r="L164" i="10"/>
  <c r="L176" i="10"/>
  <c r="L188" i="10"/>
  <c r="L200" i="10"/>
  <c r="L212" i="10"/>
  <c r="L224" i="10"/>
  <c r="L105" i="10"/>
  <c r="L117" i="10"/>
  <c r="L129" i="10"/>
  <c r="L141" i="10"/>
  <c r="L153" i="10"/>
  <c r="L165" i="10"/>
  <c r="L177" i="10"/>
  <c r="L189" i="10"/>
  <c r="L201" i="10"/>
  <c r="L213" i="10"/>
  <c r="L225" i="10"/>
  <c r="L106" i="10"/>
  <c r="L118" i="10"/>
  <c r="L130" i="10"/>
  <c r="L142" i="10"/>
  <c r="L154" i="10"/>
  <c r="L166" i="10"/>
  <c r="L178" i="10"/>
  <c r="L190" i="10"/>
  <c r="L202" i="10"/>
  <c r="L214" i="10"/>
  <c r="L226" i="10"/>
  <c r="L107" i="10"/>
  <c r="L119" i="10"/>
  <c r="L131" i="10"/>
  <c r="L143" i="10"/>
  <c r="L155" i="10"/>
  <c r="L167" i="10"/>
  <c r="L179" i="10"/>
  <c r="L191" i="10"/>
  <c r="L203" i="10"/>
  <c r="L215" i="10"/>
  <c r="L227" i="10"/>
  <c r="N250" i="10"/>
  <c r="L250" i="10"/>
  <c r="N254" i="10"/>
  <c r="L254" i="10"/>
  <c r="N258" i="10"/>
  <c r="L258" i="10"/>
  <c r="N262" i="10"/>
  <c r="L262" i="10"/>
  <c r="N263" i="10"/>
  <c r="N266" i="10"/>
  <c r="L266" i="10"/>
  <c r="L270" i="10"/>
  <c r="L300" i="10"/>
  <c r="L305" i="10"/>
  <c r="L310" i="10"/>
  <c r="L315" i="10"/>
  <c r="L320" i="10"/>
  <c r="L325" i="10"/>
  <c r="L330" i="10"/>
  <c r="L336" i="10"/>
  <c r="L341" i="10"/>
  <c r="L346" i="10"/>
  <c r="L351" i="10"/>
  <c r="L356" i="10"/>
  <c r="L361" i="10"/>
  <c r="L367" i="10"/>
  <c r="L372" i="10"/>
  <c r="L377" i="10"/>
  <c r="L382" i="10"/>
  <c r="L387" i="10"/>
  <c r="L408" i="10"/>
  <c r="L418" i="10"/>
  <c r="L423" i="10"/>
  <c r="L428" i="10"/>
  <c r="L433" i="10"/>
  <c r="L438" i="10"/>
  <c r="L443" i="10"/>
  <c r="L448" i="10"/>
  <c r="L453" i="10"/>
  <c r="L459" i="10"/>
  <c r="L464" i="10"/>
  <c r="L469" i="10"/>
  <c r="M480" i="10"/>
  <c r="L480" i="10"/>
  <c r="N223" i="10"/>
  <c r="N224" i="10"/>
  <c r="N225" i="10"/>
  <c r="N226" i="10"/>
  <c r="N227" i="10"/>
  <c r="N39" i="10"/>
  <c r="N315" i="10"/>
  <c r="N330" i="10"/>
  <c r="N361" i="10"/>
  <c r="N387" i="10"/>
  <c r="N453" i="10"/>
  <c r="N469" i="10"/>
  <c r="O480" i="10"/>
  <c r="N480" i="10"/>
  <c r="K480" i="10"/>
  <c r="N228" i="10"/>
  <c r="N229" i="10"/>
  <c r="N230" i="10"/>
  <c r="N231" i="10"/>
  <c r="N232" i="10"/>
  <c r="N42" i="10"/>
  <c r="N449" i="10"/>
  <c r="N465" i="10"/>
  <c r="O479" i="10"/>
  <c r="N479" i="10"/>
  <c r="L76" i="10"/>
  <c r="L108" i="10"/>
  <c r="L120" i="10"/>
  <c r="L132" i="10"/>
  <c r="L144" i="10"/>
  <c r="L156" i="10"/>
  <c r="L168" i="10"/>
  <c r="L180" i="10"/>
  <c r="L192" i="10"/>
  <c r="L204" i="10"/>
  <c r="L216" i="10"/>
  <c r="L228" i="10"/>
  <c r="L109" i="10"/>
  <c r="L121" i="10"/>
  <c r="L133" i="10"/>
  <c r="L145" i="10"/>
  <c r="L157" i="10"/>
  <c r="L169" i="10"/>
  <c r="L181" i="10"/>
  <c r="L193" i="10"/>
  <c r="L205" i="10"/>
  <c r="L217" i="10"/>
  <c r="L229" i="10"/>
  <c r="L110" i="10"/>
  <c r="L122" i="10"/>
  <c r="L134" i="10"/>
  <c r="L146" i="10"/>
  <c r="L158" i="10"/>
  <c r="L170" i="10"/>
  <c r="L182" i="10"/>
  <c r="L194" i="10"/>
  <c r="L206" i="10"/>
  <c r="L218" i="10"/>
  <c r="L230" i="10"/>
  <c r="L111" i="10"/>
  <c r="L123" i="10"/>
  <c r="L135" i="10"/>
  <c r="L147" i="10"/>
  <c r="L159" i="10"/>
  <c r="L171" i="10"/>
  <c r="L183" i="10"/>
  <c r="L195" i="10"/>
  <c r="L207" i="10"/>
  <c r="L219" i="10"/>
  <c r="L231" i="10"/>
  <c r="L112" i="10"/>
  <c r="L124" i="10"/>
  <c r="L136" i="10"/>
  <c r="L148" i="10"/>
  <c r="L160" i="10"/>
  <c r="L172" i="10"/>
  <c r="L184" i="10"/>
  <c r="L196" i="10"/>
  <c r="L208" i="10"/>
  <c r="L220" i="10"/>
  <c r="L232" i="10"/>
  <c r="L414" i="10"/>
  <c r="L419" i="10"/>
  <c r="L424" i="10"/>
  <c r="L429" i="10"/>
  <c r="L434" i="10"/>
  <c r="L439" i="10"/>
  <c r="L444" i="10"/>
  <c r="L449" i="10"/>
  <c r="L455" i="10"/>
  <c r="L460" i="10"/>
  <c r="L465" i="10"/>
  <c r="M479" i="10"/>
  <c r="L479" i="10"/>
  <c r="K479" i="10"/>
  <c r="N38" i="10"/>
  <c r="N98" i="10"/>
  <c r="N222" i="10"/>
  <c r="N241" i="10"/>
  <c r="N242" i="10"/>
  <c r="N243" i="10"/>
  <c r="N277" i="10"/>
  <c r="N331" i="10"/>
  <c r="N362" i="10"/>
  <c r="N388" i="10"/>
  <c r="O481" i="10"/>
  <c r="N481" i="10"/>
  <c r="L102" i="10"/>
  <c r="L114" i="10"/>
  <c r="L126" i="10"/>
  <c r="L138" i="10"/>
  <c r="L150" i="10"/>
  <c r="L162" i="10"/>
  <c r="L174" i="10"/>
  <c r="L186" i="10"/>
  <c r="L198" i="10"/>
  <c r="L210" i="10"/>
  <c r="L222" i="10"/>
  <c r="L243" i="10"/>
  <c r="L277" i="10"/>
  <c r="L321" i="10"/>
  <c r="L326" i="10"/>
  <c r="L331" i="10"/>
  <c r="L337" i="10"/>
  <c r="L342" i="10"/>
  <c r="L347" i="10"/>
  <c r="L352" i="10"/>
  <c r="L357" i="10"/>
  <c r="L362" i="10"/>
  <c r="L368" i="10"/>
  <c r="L373" i="10"/>
  <c r="L378" i="10"/>
  <c r="L383" i="10"/>
  <c r="L388" i="10"/>
  <c r="L409" i="10"/>
  <c r="M481" i="10"/>
  <c r="L481" i="10"/>
  <c r="K481" i="10"/>
  <c r="N405" i="10"/>
  <c r="N407" i="10"/>
  <c r="L43" i="10"/>
  <c r="L59" i="10"/>
  <c r="L77" i="10"/>
  <c r="L113" i="10"/>
  <c r="L125" i="10"/>
  <c r="L137" i="10"/>
  <c r="L149" i="10"/>
  <c r="L161" i="10"/>
  <c r="L173" i="10"/>
  <c r="L185" i="10"/>
  <c r="L197" i="10"/>
  <c r="L209" i="10"/>
  <c r="L221" i="10"/>
  <c r="L233" i="10"/>
  <c r="L301" i="10"/>
  <c r="L306" i="10"/>
  <c r="L311" i="10"/>
  <c r="L316" i="10"/>
  <c r="L322" i="10"/>
  <c r="L327" i="10"/>
  <c r="L332" i="10"/>
  <c r="L338" i="10"/>
  <c r="L343" i="10"/>
  <c r="L348" i="10"/>
  <c r="L353" i="10"/>
  <c r="L358" i="10"/>
  <c r="L363" i="10"/>
  <c r="L369" i="10"/>
  <c r="L374" i="10"/>
  <c r="L379" i="10"/>
  <c r="L384" i="10"/>
  <c r="L389" i="10"/>
  <c r="L395" i="10"/>
  <c r="L401" i="10"/>
  <c r="N267" i="10"/>
  <c r="J267" i="10"/>
  <c r="J269" i="10"/>
  <c r="J451" i="10"/>
  <c r="J467" i="10"/>
  <c r="J312" i="10"/>
  <c r="J313" i="10"/>
  <c r="J314" i="10"/>
  <c r="J328" i="10"/>
  <c r="J329" i="10"/>
  <c r="J359" i="10"/>
  <c r="J360" i="10"/>
  <c r="J385" i="10"/>
  <c r="J386" i="10"/>
  <c r="L247" i="10"/>
  <c r="L251" i="10"/>
  <c r="L255" i="10"/>
  <c r="L259" i="10"/>
  <c r="L263" i="10"/>
  <c r="L267" i="10"/>
  <c r="L249" i="10"/>
  <c r="L253" i="10"/>
  <c r="L257" i="10"/>
  <c r="L261" i="10"/>
  <c r="L265" i="10"/>
  <c r="L269" i="10"/>
  <c r="L416" i="10"/>
  <c r="L421" i="10"/>
  <c r="L426" i="10"/>
  <c r="L431" i="10"/>
  <c r="L436" i="10"/>
  <c r="L441" i="10"/>
  <c r="L446" i="10"/>
  <c r="L451" i="10"/>
  <c r="L457" i="10"/>
  <c r="L462" i="10"/>
  <c r="L467" i="10"/>
  <c r="L297" i="10"/>
  <c r="L302" i="10"/>
  <c r="L307" i="10"/>
  <c r="L312" i="10"/>
  <c r="L298" i="10"/>
  <c r="L303" i="10"/>
  <c r="L308" i="10"/>
  <c r="L313" i="10"/>
  <c r="L299" i="10"/>
  <c r="L304" i="10"/>
  <c r="L309" i="10"/>
  <c r="L314" i="10"/>
  <c r="L318" i="10"/>
  <c r="L323" i="10"/>
  <c r="L328" i="10"/>
  <c r="L324" i="10"/>
  <c r="L329" i="10"/>
  <c r="L334" i="10"/>
  <c r="L339" i="10"/>
  <c r="L344" i="10"/>
  <c r="L349" i="10"/>
  <c r="L354" i="10"/>
  <c r="L359" i="10"/>
  <c r="L335" i="10"/>
  <c r="L340" i="10"/>
  <c r="L345" i="10"/>
  <c r="L350" i="10"/>
  <c r="L355" i="10"/>
  <c r="L360" i="10"/>
  <c r="L365" i="10"/>
  <c r="L370" i="10"/>
  <c r="L375" i="10"/>
  <c r="L380" i="10"/>
  <c r="L385" i="10"/>
  <c r="L366" i="10"/>
  <c r="L371" i="10"/>
  <c r="L376" i="10"/>
  <c r="L381" i="10"/>
  <c r="L386" i="10"/>
  <c r="L407" i="10"/>
  <c r="N269" i="10"/>
  <c r="N451" i="10"/>
  <c r="N467" i="10"/>
  <c r="N312" i="10"/>
  <c r="N313" i="10"/>
  <c r="N314" i="10"/>
  <c r="N328" i="10"/>
  <c r="N329" i="10"/>
  <c r="N359" i="10"/>
  <c r="N360" i="10"/>
  <c r="N385" i="10"/>
  <c r="N386" i="10"/>
  <c r="M43" i="10"/>
  <c r="K43" i="10"/>
  <c r="O39" i="10"/>
  <c r="N40" i="10"/>
  <c r="O40" i="10"/>
  <c r="N41" i="10"/>
  <c r="O41" i="10"/>
  <c r="O42" i="10"/>
  <c r="O43" i="10"/>
  <c r="O75" i="10"/>
  <c r="M75" i="10"/>
  <c r="K75" i="10"/>
  <c r="J466" i="10"/>
  <c r="L456" i="10"/>
  <c r="L461" i="10"/>
  <c r="L466" i="10"/>
  <c r="N466" i="10"/>
  <c r="J468" i="10"/>
  <c r="L458" i="10"/>
  <c r="L463" i="10"/>
  <c r="L468" i="10"/>
  <c r="N468" i="10"/>
  <c r="J450" i="10"/>
  <c r="K450" i="10"/>
  <c r="L415" i="10"/>
  <c r="L420" i="10"/>
  <c r="L425" i="10"/>
  <c r="L430" i="10"/>
  <c r="L435" i="10"/>
  <c r="L440" i="10"/>
  <c r="L445" i="10"/>
  <c r="L450" i="10"/>
  <c r="M450" i="10"/>
  <c r="N450" i="10"/>
  <c r="O450" i="10"/>
  <c r="K451" i="10"/>
  <c r="M451" i="10"/>
  <c r="O451" i="10"/>
  <c r="J452" i="10"/>
  <c r="K452" i="10"/>
  <c r="L417" i="10"/>
  <c r="L422" i="10"/>
  <c r="L427" i="10"/>
  <c r="L432" i="10"/>
  <c r="L437" i="10"/>
  <c r="L442" i="10"/>
  <c r="L447" i="10"/>
  <c r="L452" i="10"/>
  <c r="M452" i="10"/>
  <c r="N452" i="10"/>
  <c r="O452" i="10"/>
  <c r="K453" i="10"/>
  <c r="M453" i="10"/>
  <c r="O453" i="10"/>
  <c r="O449" i="10"/>
  <c r="M449" i="10"/>
  <c r="K449" i="10"/>
  <c r="K386" i="10"/>
  <c r="M386" i="10"/>
  <c r="O386" i="10"/>
  <c r="K387" i="10"/>
  <c r="M387" i="10"/>
  <c r="O387" i="10"/>
  <c r="K388" i="10"/>
  <c r="M388" i="10"/>
  <c r="O388" i="10"/>
  <c r="K389" i="10"/>
  <c r="M389" i="10"/>
  <c r="O389" i="10"/>
  <c r="O385" i="10"/>
  <c r="M385" i="10"/>
  <c r="K385" i="10"/>
  <c r="K360" i="10"/>
  <c r="M360" i="10"/>
  <c r="O360" i="10"/>
  <c r="K361" i="10"/>
  <c r="M361" i="10"/>
  <c r="O361" i="10"/>
  <c r="K362" i="10"/>
  <c r="M362" i="10"/>
  <c r="O362" i="10"/>
  <c r="K363" i="10"/>
  <c r="M363" i="10"/>
  <c r="O363" i="10"/>
  <c r="O359" i="10"/>
  <c r="M359" i="10"/>
  <c r="K359" i="10"/>
  <c r="K313" i="10"/>
  <c r="M313" i="10"/>
  <c r="O313" i="10"/>
  <c r="K314" i="10"/>
  <c r="M314" i="10"/>
  <c r="O314" i="10"/>
  <c r="K315" i="10"/>
  <c r="M315" i="10"/>
  <c r="O315" i="10"/>
  <c r="K316" i="10"/>
  <c r="M316" i="10"/>
  <c r="O312" i="10"/>
  <c r="M312" i="10"/>
  <c r="K312" i="10"/>
  <c r="O277" i="10"/>
  <c r="M277" i="10"/>
  <c r="K277" i="10"/>
  <c r="J268" i="10"/>
  <c r="K268" i="10"/>
  <c r="L248" i="10"/>
  <c r="L252" i="10"/>
  <c r="L256" i="10"/>
  <c r="L260" i="10"/>
  <c r="L264" i="10"/>
  <c r="L268" i="10"/>
  <c r="M268" i="10"/>
  <c r="N268" i="10"/>
  <c r="O268" i="10"/>
  <c r="K269" i="10"/>
  <c r="M269" i="10"/>
  <c r="O269" i="10"/>
  <c r="K270" i="10"/>
  <c r="M270" i="10"/>
  <c r="O270" i="10"/>
  <c r="O267" i="10"/>
  <c r="M267" i="10"/>
  <c r="K267" i="10"/>
  <c r="K223" i="10"/>
  <c r="M223" i="10"/>
  <c r="O223" i="10"/>
  <c r="K224" i="10"/>
  <c r="M224" i="10"/>
  <c r="O224" i="10"/>
  <c r="K225" i="10"/>
  <c r="M225" i="10"/>
  <c r="O225" i="10"/>
  <c r="K226" i="10"/>
  <c r="M226" i="10"/>
  <c r="O226" i="10"/>
  <c r="K227" i="10"/>
  <c r="M227" i="10"/>
  <c r="O227" i="10"/>
  <c r="K228" i="10"/>
  <c r="M228" i="10"/>
  <c r="O228" i="10"/>
  <c r="K229" i="10"/>
  <c r="M229" i="10"/>
  <c r="O229" i="10"/>
  <c r="K230" i="10"/>
  <c r="M230" i="10"/>
  <c r="O230" i="10"/>
  <c r="K231" i="10"/>
  <c r="M231" i="10"/>
  <c r="O231" i="10"/>
  <c r="K232" i="10"/>
  <c r="M232" i="10"/>
  <c r="O232" i="10"/>
  <c r="K233" i="10"/>
  <c r="M233" i="10"/>
  <c r="O233" i="10"/>
  <c r="O222" i="10"/>
  <c r="M222" i="10"/>
  <c r="K222" i="10"/>
  <c r="L405" i="10"/>
  <c r="O59" i="10"/>
  <c r="M59" i="10"/>
  <c r="K59" i="10"/>
  <c r="O38" i="10"/>
  <c r="N6" i="3"/>
  <c r="N12" i="3"/>
  <c r="N22" i="3"/>
  <c r="O20" i="3"/>
  <c r="O21" i="3"/>
  <c r="N21" i="3"/>
  <c r="N20" i="3"/>
  <c r="N19" i="3"/>
  <c r="N18" i="3"/>
  <c r="O6" i="3"/>
  <c r="J57" i="15"/>
  <c r="K58" i="15"/>
  <c r="J58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19" i="15"/>
  <c r="O31" i="15"/>
  <c r="M31" i="15"/>
  <c r="K31" i="15"/>
  <c r="N15" i="15"/>
  <c r="O61" i="15"/>
  <c r="O57" i="15"/>
  <c r="N57" i="15"/>
  <c r="M61" i="15"/>
  <c r="M57" i="15"/>
  <c r="L57" i="15"/>
  <c r="K57" i="15"/>
  <c r="L61" i="15"/>
  <c r="N61" i="15"/>
  <c r="L76" i="15"/>
  <c r="N63" i="15"/>
  <c r="N64" i="15"/>
  <c r="N65" i="15"/>
  <c r="N66" i="15"/>
  <c r="N67" i="15"/>
  <c r="N68" i="15"/>
  <c r="N69" i="15"/>
  <c r="N70" i="15"/>
  <c r="N71" i="15"/>
  <c r="N72" i="15"/>
  <c r="N74" i="15"/>
  <c r="N75" i="15"/>
  <c r="N76" i="15"/>
  <c r="J76" i="15"/>
  <c r="O15" i="15"/>
  <c r="M15" i="15"/>
  <c r="K15" i="15"/>
  <c r="I7" i="19"/>
  <c r="J7" i="19"/>
  <c r="K7" i="19"/>
  <c r="L7" i="19"/>
  <c r="M7" i="19"/>
  <c r="H7" i="19"/>
  <c r="H685" i="19"/>
  <c r="H686" i="19"/>
  <c r="H687" i="19"/>
  <c r="H688" i="19"/>
  <c r="H689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35" i="19"/>
  <c r="H633" i="19"/>
  <c r="H493" i="19"/>
  <c r="H415" i="19"/>
  <c r="H416" i="19"/>
  <c r="H417" i="19"/>
  <c r="H418" i="19"/>
  <c r="H419" i="19"/>
  <c r="H420" i="19"/>
  <c r="H421" i="19"/>
  <c r="I375" i="19"/>
  <c r="I374" i="19"/>
  <c r="I373" i="19"/>
  <c r="I63" i="19"/>
  <c r="H63" i="19"/>
  <c r="J121" i="11"/>
  <c r="J171" i="11"/>
  <c r="J172" i="11"/>
  <c r="J281" i="11"/>
  <c r="J282" i="11"/>
  <c r="J294" i="11"/>
  <c r="J302" i="11"/>
  <c r="J361" i="11"/>
  <c r="J362" i="11"/>
  <c r="J370" i="11"/>
  <c r="J376" i="11"/>
  <c r="J425" i="11"/>
  <c r="J426" i="11"/>
  <c r="J457" i="11"/>
  <c r="J458" i="11"/>
  <c r="J465" i="11"/>
  <c r="J479" i="11"/>
  <c r="J495" i="11"/>
  <c r="J523" i="11"/>
  <c r="J524" i="11"/>
  <c r="J525" i="11"/>
  <c r="J526" i="11"/>
  <c r="J527" i="11"/>
  <c r="N538" i="11"/>
  <c r="J538" i="11"/>
  <c r="N546" i="11"/>
  <c r="J546" i="11"/>
  <c r="N554" i="11"/>
  <c r="J554" i="11"/>
  <c r="J562" i="11"/>
  <c r="K911" i="11"/>
  <c r="I4" i="19"/>
  <c r="L121" i="11"/>
  <c r="L171" i="11"/>
  <c r="L172" i="11"/>
  <c r="L281" i="11"/>
  <c r="L282" i="11"/>
  <c r="L294" i="11"/>
  <c r="L302" i="11"/>
  <c r="L361" i="11"/>
  <c r="L362" i="11"/>
  <c r="L370" i="11"/>
  <c r="L376" i="11"/>
  <c r="L425" i="11"/>
  <c r="L426" i="11"/>
  <c r="L457" i="11"/>
  <c r="L458" i="11"/>
  <c r="L462" i="11"/>
  <c r="L463" i="11"/>
  <c r="L464" i="11"/>
  <c r="L465" i="11"/>
  <c r="L479" i="11"/>
  <c r="L495" i="11"/>
  <c r="L523" i="11"/>
  <c r="L524" i="11"/>
  <c r="L525" i="11"/>
  <c r="L526" i="11"/>
  <c r="L527" i="11"/>
  <c r="L562" i="11"/>
  <c r="L911" i="11"/>
  <c r="J4" i="19"/>
  <c r="M911" i="11"/>
  <c r="K4" i="19"/>
  <c r="N146" i="11"/>
  <c r="N158" i="11"/>
  <c r="N172" i="11"/>
  <c r="N185" i="11"/>
  <c r="N219" i="11"/>
  <c r="N239" i="11"/>
  <c r="N249" i="11"/>
  <c r="N259" i="11"/>
  <c r="N269" i="11"/>
  <c r="N282" i="11"/>
  <c r="N362" i="11"/>
  <c r="N426" i="11"/>
  <c r="N453" i="11"/>
  <c r="N458" i="11"/>
  <c r="N465" i="11"/>
  <c r="N499" i="11"/>
  <c r="N500" i="11"/>
  <c r="N501" i="11"/>
  <c r="N502" i="11"/>
  <c r="N503" i="11"/>
  <c r="N504" i="11"/>
  <c r="N523" i="11"/>
  <c r="N505" i="11"/>
  <c r="N506" i="11"/>
  <c r="N507" i="11"/>
  <c r="N508" i="11"/>
  <c r="N509" i="11"/>
  <c r="N510" i="11"/>
  <c r="N524" i="11"/>
  <c r="N511" i="11"/>
  <c r="N512" i="11"/>
  <c r="N513" i="11"/>
  <c r="N514" i="11"/>
  <c r="N515" i="11"/>
  <c r="N516" i="11"/>
  <c r="N525" i="11"/>
  <c r="N517" i="11"/>
  <c r="N518" i="11"/>
  <c r="N519" i="11"/>
  <c r="N520" i="11"/>
  <c r="N521" i="11"/>
  <c r="N522" i="11"/>
  <c r="N526" i="11"/>
  <c r="N527" i="11"/>
  <c r="N562" i="11"/>
  <c r="N911" i="11"/>
  <c r="L4" i="19"/>
  <c r="O911" i="11"/>
  <c r="M4" i="19"/>
  <c r="J911" i="11"/>
  <c r="H4" i="19"/>
  <c r="J31" i="13"/>
  <c r="J74" i="13"/>
  <c r="J124" i="13"/>
  <c r="J175" i="13"/>
  <c r="J236" i="13"/>
  <c r="J395" i="13"/>
  <c r="J471" i="13"/>
  <c r="J557" i="13"/>
  <c r="J564" i="13"/>
  <c r="K602" i="13"/>
  <c r="I5" i="19"/>
  <c r="L31" i="13"/>
  <c r="N39" i="13"/>
  <c r="L39" i="13"/>
  <c r="L74" i="13"/>
  <c r="N92" i="13"/>
  <c r="L92" i="13"/>
  <c r="N108" i="13"/>
  <c r="L108" i="13"/>
  <c r="L124" i="13"/>
  <c r="N143" i="13"/>
  <c r="L143" i="13"/>
  <c r="N159" i="13"/>
  <c r="L159" i="13"/>
  <c r="L175" i="13"/>
  <c r="N206" i="13"/>
  <c r="L206" i="13"/>
  <c r="N221" i="13"/>
  <c r="L221" i="13"/>
  <c r="L236" i="13"/>
  <c r="N263" i="13"/>
  <c r="L263" i="13"/>
  <c r="N317" i="13"/>
  <c r="L317" i="13"/>
  <c r="N335" i="13"/>
  <c r="L335" i="13"/>
  <c r="N350" i="13"/>
  <c r="L350" i="13"/>
  <c r="N365" i="13"/>
  <c r="L365" i="13"/>
  <c r="N380" i="13"/>
  <c r="L380" i="13"/>
  <c r="L395" i="13"/>
  <c r="L413" i="13"/>
  <c r="N426" i="13"/>
  <c r="L426" i="13"/>
  <c r="L471" i="13"/>
  <c r="N491" i="13"/>
  <c r="L491" i="13"/>
  <c r="L557" i="13"/>
  <c r="L564" i="13"/>
  <c r="L602" i="13"/>
  <c r="J5" i="19"/>
  <c r="M602" i="13"/>
  <c r="K5" i="19"/>
  <c r="N11" i="13"/>
  <c r="N21" i="13"/>
  <c r="N31" i="13"/>
  <c r="N50" i="13"/>
  <c r="N66" i="13"/>
  <c r="N74" i="13"/>
  <c r="N124" i="13"/>
  <c r="N175" i="13"/>
  <c r="N188" i="13"/>
  <c r="N236" i="13"/>
  <c r="N249" i="13"/>
  <c r="N278" i="13"/>
  <c r="N299" i="13"/>
  <c r="N395" i="13"/>
  <c r="N436" i="13"/>
  <c r="N443" i="13"/>
  <c r="N450" i="13"/>
  <c r="N457" i="13"/>
  <c r="N464" i="13"/>
  <c r="N471" i="13"/>
  <c r="N481" i="13"/>
  <c r="N499" i="13"/>
  <c r="N523" i="13"/>
  <c r="N540" i="13"/>
  <c r="N557" i="13"/>
  <c r="N564" i="13"/>
  <c r="L5" i="19"/>
  <c r="O602" i="13"/>
  <c r="M5" i="19"/>
  <c r="H5" i="19"/>
  <c r="I6" i="19"/>
  <c r="J6" i="19"/>
  <c r="K6" i="19"/>
  <c r="L6" i="19"/>
  <c r="M6" i="19"/>
  <c r="H6" i="19"/>
  <c r="H8" i="19"/>
  <c r="L8" i="19"/>
  <c r="L152" i="16"/>
  <c r="J8" i="19"/>
  <c r="K152" i="16"/>
  <c r="I8" i="19"/>
  <c r="M152" i="16"/>
  <c r="K8" i="19"/>
  <c r="O152" i="16"/>
  <c r="M8" i="19"/>
  <c r="O153" i="16"/>
  <c r="M153" i="16"/>
  <c r="L153" i="16"/>
  <c r="K153" i="16"/>
  <c r="K154" i="16"/>
  <c r="L154" i="16"/>
  <c r="M154" i="16"/>
  <c r="N154" i="16"/>
  <c r="O154" i="16"/>
  <c r="J154" i="16"/>
  <c r="N45" i="16"/>
  <c r="N58" i="16"/>
  <c r="N71" i="16"/>
  <c r="L45" i="16"/>
  <c r="L58" i="16"/>
  <c r="L71" i="16"/>
  <c r="J71" i="16"/>
  <c r="N42" i="16"/>
  <c r="N55" i="16"/>
  <c r="N68" i="16"/>
  <c r="L42" i="16"/>
  <c r="L55" i="16"/>
  <c r="L68" i="16"/>
  <c r="J68" i="16"/>
  <c r="N41" i="16"/>
  <c r="N67" i="16"/>
  <c r="L41" i="16"/>
  <c r="L67" i="16"/>
  <c r="J67" i="16"/>
  <c r="N40" i="16"/>
  <c r="N53" i="16"/>
  <c r="N66" i="16"/>
  <c r="L40" i="16"/>
  <c r="L53" i="16"/>
  <c r="L66" i="16"/>
  <c r="J66" i="16"/>
  <c r="N39" i="16"/>
  <c r="N52" i="16"/>
  <c r="N65" i="16"/>
  <c r="L39" i="16"/>
  <c r="L52" i="16"/>
  <c r="L65" i="16"/>
  <c r="J65" i="16"/>
  <c r="J64" i="16"/>
  <c r="N37" i="16"/>
  <c r="N50" i="16"/>
  <c r="N63" i="16"/>
  <c r="L37" i="16"/>
  <c r="L50" i="16"/>
  <c r="L63" i="16"/>
  <c r="J63" i="16"/>
  <c r="N36" i="16"/>
  <c r="N49" i="16"/>
  <c r="N62" i="16"/>
  <c r="L36" i="16"/>
  <c r="L49" i="16"/>
  <c r="L62" i="16"/>
  <c r="J62" i="16"/>
  <c r="N35" i="16"/>
  <c r="N48" i="16"/>
  <c r="N61" i="16"/>
  <c r="L35" i="16"/>
  <c r="L48" i="16"/>
  <c r="L61" i="16"/>
  <c r="J61" i="16"/>
  <c r="N34" i="16"/>
  <c r="N47" i="16"/>
  <c r="N60" i="16"/>
  <c r="L34" i="16"/>
  <c r="L47" i="16"/>
  <c r="L60" i="16"/>
  <c r="J60" i="16"/>
  <c r="N31" i="16"/>
  <c r="L31" i="16"/>
  <c r="N30" i="16"/>
  <c r="L30" i="16"/>
  <c r="N29" i="16"/>
  <c r="L29" i="16"/>
  <c r="L28" i="16"/>
  <c r="N27" i="16"/>
  <c r="L27" i="16"/>
  <c r="N26" i="16"/>
  <c r="L26" i="16"/>
  <c r="N25" i="16"/>
  <c r="L25" i="16"/>
  <c r="N24" i="16"/>
  <c r="L24" i="16"/>
  <c r="N23" i="16"/>
  <c r="L23" i="16"/>
  <c r="N22" i="16"/>
  <c r="L22" i="16"/>
  <c r="N21" i="16"/>
  <c r="L21" i="16"/>
  <c r="N20" i="16"/>
  <c r="L20" i="16"/>
  <c r="K142" i="16"/>
  <c r="N95" i="16"/>
  <c r="N112" i="16"/>
  <c r="N129" i="16"/>
  <c r="L129" i="16"/>
  <c r="J129" i="16"/>
  <c r="N94" i="16"/>
  <c r="N111" i="16"/>
  <c r="N128" i="16"/>
  <c r="L128" i="16"/>
  <c r="J128" i="16"/>
  <c r="N93" i="16"/>
  <c r="N110" i="16"/>
  <c r="N127" i="16"/>
  <c r="L127" i="16"/>
  <c r="J127" i="16"/>
  <c r="N92" i="16"/>
  <c r="N126" i="16"/>
  <c r="L126" i="16"/>
  <c r="J126" i="16"/>
  <c r="N91" i="16"/>
  <c r="N125" i="16"/>
  <c r="L125" i="16"/>
  <c r="J125" i="16"/>
  <c r="N90" i="16"/>
  <c r="N124" i="16"/>
  <c r="L124" i="16"/>
  <c r="J124" i="16"/>
  <c r="N89" i="16"/>
  <c r="N106" i="16"/>
  <c r="N123" i="16"/>
  <c r="L123" i="16"/>
  <c r="J123" i="16"/>
  <c r="N88" i="16"/>
  <c r="N105" i="16"/>
  <c r="N122" i="16"/>
  <c r="L122" i="16"/>
  <c r="J122" i="16"/>
  <c r="N87" i="16"/>
  <c r="N104" i="16"/>
  <c r="N121" i="16"/>
  <c r="L121" i="16"/>
  <c r="J121" i="16"/>
  <c r="N86" i="16"/>
  <c r="N103" i="16"/>
  <c r="N120" i="16"/>
  <c r="L120" i="16"/>
  <c r="J120" i="16"/>
  <c r="N85" i="16"/>
  <c r="N102" i="16"/>
  <c r="N119" i="16"/>
  <c r="L119" i="16"/>
  <c r="J119" i="16"/>
  <c r="N84" i="16"/>
  <c r="N101" i="16"/>
  <c r="N118" i="16"/>
  <c r="L118" i="16"/>
  <c r="J118" i="16"/>
  <c r="N83" i="16"/>
  <c r="N100" i="16"/>
  <c r="N117" i="16"/>
  <c r="L117" i="16"/>
  <c r="J117" i="16"/>
  <c r="N82" i="16"/>
  <c r="N99" i="16"/>
  <c r="N116" i="16"/>
  <c r="L116" i="16"/>
  <c r="J116" i="16"/>
  <c r="N80" i="16"/>
  <c r="N97" i="16"/>
  <c r="N114" i="16"/>
  <c r="L114" i="16"/>
  <c r="J114" i="16"/>
  <c r="L15" i="16"/>
  <c r="L13" i="16"/>
  <c r="L12" i="16"/>
  <c r="L11" i="16"/>
  <c r="L10" i="16"/>
  <c r="L9" i="16"/>
  <c r="L8" i="16"/>
  <c r="L5" i="16"/>
  <c r="N4" i="16"/>
  <c r="L4" i="16"/>
  <c r="N3" i="16"/>
  <c r="L3" i="16"/>
  <c r="N917" i="11"/>
  <c r="J916" i="11"/>
  <c r="J917" i="11"/>
  <c r="J905" i="11"/>
  <c r="J892" i="11"/>
  <c r="J893" i="11"/>
  <c r="J894" i="11"/>
  <c r="J895" i="11"/>
  <c r="J896" i="11"/>
  <c r="J897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58" i="11"/>
  <c r="J835" i="11"/>
  <c r="J723" i="11"/>
  <c r="J719" i="11"/>
  <c r="J718" i="11"/>
  <c r="J658" i="11"/>
  <c r="K925" i="11"/>
  <c r="J925" i="11"/>
  <c r="O917" i="11"/>
  <c r="M917" i="11"/>
  <c r="L917" i="11"/>
  <c r="K917" i="11"/>
  <c r="N2" i="11"/>
  <c r="N14" i="11"/>
  <c r="N26" i="11"/>
  <c r="N38" i="11"/>
  <c r="N50" i="11"/>
  <c r="N62" i="11"/>
  <c r="N74" i="11"/>
  <c r="N86" i="11"/>
  <c r="N98" i="11"/>
  <c r="N110" i="11"/>
  <c r="N123" i="11"/>
  <c r="N135" i="11"/>
  <c r="N147" i="11"/>
  <c r="N159" i="11"/>
  <c r="N174" i="11"/>
  <c r="N193" i="11"/>
  <c r="N196" i="11"/>
  <c r="N199" i="11"/>
  <c r="N202" i="11"/>
  <c r="N205" i="11"/>
  <c r="N208" i="11"/>
  <c r="N211" i="11"/>
  <c r="N214" i="11"/>
  <c r="N244" i="11"/>
  <c r="N274" i="11"/>
  <c r="N350" i="11"/>
  <c r="N416" i="11"/>
  <c r="N478" i="11"/>
  <c r="N537" i="11"/>
  <c r="N545" i="11"/>
  <c r="N553" i="11"/>
  <c r="N561" i="11"/>
  <c r="O927" i="11"/>
  <c r="N927" i="11"/>
  <c r="L110" i="11"/>
  <c r="L159" i="11"/>
  <c r="L274" i="11"/>
  <c r="L350" i="11"/>
  <c r="L416" i="11"/>
  <c r="L478" i="11"/>
  <c r="L561" i="11"/>
  <c r="M927" i="11"/>
  <c r="L927" i="11"/>
  <c r="J110" i="11"/>
  <c r="J159" i="11"/>
  <c r="J274" i="11"/>
  <c r="J350" i="11"/>
  <c r="J416" i="11"/>
  <c r="J478" i="11"/>
  <c r="J537" i="11"/>
  <c r="J545" i="11"/>
  <c r="J553" i="11"/>
  <c r="J561" i="11"/>
  <c r="K927" i="11"/>
  <c r="J927" i="11"/>
  <c r="J636" i="11"/>
  <c r="J641" i="11"/>
  <c r="J647" i="11"/>
  <c r="J650" i="11"/>
  <c r="J682" i="11"/>
  <c r="J664" i="11"/>
  <c r="J690" i="11"/>
  <c r="J703" i="11"/>
  <c r="J809" i="11"/>
  <c r="J817" i="11"/>
  <c r="J818" i="11"/>
  <c r="J819" i="11"/>
  <c r="J820" i="11"/>
  <c r="J888" i="11"/>
  <c r="K919" i="11"/>
  <c r="J919" i="11"/>
  <c r="K562" i="11"/>
  <c r="K915" i="11"/>
  <c r="L915" i="11"/>
  <c r="M562" i="11"/>
  <c r="M915" i="11"/>
  <c r="N915" i="11"/>
  <c r="O562" i="11"/>
  <c r="O915" i="11"/>
  <c r="J915" i="11"/>
  <c r="L118" i="11"/>
  <c r="L119" i="11"/>
  <c r="L167" i="11"/>
  <c r="L168" i="11"/>
  <c r="L358" i="11"/>
  <c r="L420" i="11"/>
  <c r="M935" i="11"/>
  <c r="L935" i="11"/>
  <c r="J912" i="11"/>
  <c r="K924" i="11"/>
  <c r="J924" i="11"/>
  <c r="K922" i="11"/>
  <c r="J922" i="11"/>
  <c r="J914" i="11"/>
  <c r="K920" i="11"/>
  <c r="J920" i="11"/>
  <c r="O914" i="11"/>
  <c r="N914" i="11"/>
  <c r="M914" i="11"/>
  <c r="L914" i="11"/>
  <c r="K914" i="11"/>
  <c r="K913" i="11"/>
  <c r="N179" i="11"/>
  <c r="N192" i="11"/>
  <c r="N433" i="11"/>
  <c r="N178" i="11"/>
  <c r="N189" i="11"/>
  <c r="O526" i="11"/>
  <c r="O525" i="11"/>
  <c r="O524" i="11"/>
  <c r="O523" i="11"/>
  <c r="M526" i="11"/>
  <c r="M525" i="11"/>
  <c r="M524" i="11"/>
  <c r="M523" i="11"/>
  <c r="K526" i="11"/>
  <c r="K525" i="11"/>
  <c r="K524" i="11"/>
  <c r="K523" i="11"/>
  <c r="O913" i="11"/>
  <c r="N913" i="11"/>
  <c r="M913" i="11"/>
  <c r="L913" i="11"/>
  <c r="J913" i="11"/>
  <c r="O912" i="11"/>
  <c r="N912" i="11"/>
  <c r="M912" i="11"/>
  <c r="L912" i="11"/>
  <c r="K912" i="11"/>
  <c r="O916" i="11"/>
  <c r="M916" i="11"/>
  <c r="L916" i="11"/>
  <c r="K916" i="11"/>
  <c r="N170" i="11"/>
  <c r="N280" i="11"/>
  <c r="L170" i="11"/>
  <c r="L280" i="11"/>
  <c r="J170" i="11"/>
  <c r="J280" i="11"/>
  <c r="N360" i="11"/>
  <c r="N424" i="11"/>
  <c r="N456" i="11"/>
  <c r="L360" i="11"/>
  <c r="L424" i="11"/>
  <c r="L456" i="11"/>
  <c r="J360" i="11"/>
  <c r="J424" i="11"/>
  <c r="J456" i="11"/>
  <c r="K465" i="11"/>
  <c r="M465" i="11"/>
  <c r="O465" i="11"/>
  <c r="J477" i="11"/>
  <c r="L477" i="11"/>
  <c r="N477" i="11"/>
  <c r="O477" i="11"/>
  <c r="K479" i="11"/>
  <c r="M479" i="11"/>
  <c r="O479" i="11"/>
  <c r="O561" i="11"/>
  <c r="M561" i="11"/>
  <c r="K561" i="11"/>
  <c r="N536" i="11"/>
  <c r="N544" i="11"/>
  <c r="N552" i="11"/>
  <c r="O560" i="11"/>
  <c r="N560" i="11"/>
  <c r="M560" i="11"/>
  <c r="L560" i="11"/>
  <c r="J536" i="11"/>
  <c r="J544" i="11"/>
  <c r="J552" i="11"/>
  <c r="K560" i="11"/>
  <c r="J560" i="11"/>
  <c r="N535" i="11"/>
  <c r="N543" i="11"/>
  <c r="N551" i="11"/>
  <c r="O559" i="11"/>
  <c r="N559" i="11"/>
  <c r="M559" i="11"/>
  <c r="L559" i="11"/>
  <c r="J535" i="11"/>
  <c r="J543" i="11"/>
  <c r="J551" i="11"/>
  <c r="K559" i="11"/>
  <c r="J559" i="11"/>
  <c r="N534" i="11"/>
  <c r="N542" i="11"/>
  <c r="N550" i="11"/>
  <c r="O558" i="11"/>
  <c r="N558" i="11"/>
  <c r="M558" i="11"/>
  <c r="L558" i="11"/>
  <c r="J534" i="11"/>
  <c r="J542" i="11"/>
  <c r="J550" i="11"/>
  <c r="K558" i="11"/>
  <c r="J558" i="11"/>
  <c r="N533" i="11"/>
  <c r="N541" i="11"/>
  <c r="N549" i="11"/>
  <c r="O557" i="11"/>
  <c r="N557" i="11"/>
  <c r="M557" i="11"/>
  <c r="L557" i="11"/>
  <c r="J533" i="11"/>
  <c r="J541" i="11"/>
  <c r="J549" i="11"/>
  <c r="K557" i="11"/>
  <c r="J557" i="11"/>
  <c r="N532" i="11"/>
  <c r="N540" i="11"/>
  <c r="N548" i="11"/>
  <c r="O556" i="11"/>
  <c r="N556" i="11"/>
  <c r="M556" i="11"/>
  <c r="L556" i="11"/>
  <c r="J532" i="11"/>
  <c r="J540" i="11"/>
  <c r="J548" i="11"/>
  <c r="K556" i="11"/>
  <c r="J556" i="11"/>
  <c r="N531" i="11"/>
  <c r="N539" i="11"/>
  <c r="N547" i="11"/>
  <c r="O555" i="11"/>
  <c r="N555" i="11"/>
  <c r="M555" i="11"/>
  <c r="L555" i="11"/>
  <c r="J531" i="11"/>
  <c r="J539" i="11"/>
  <c r="J547" i="11"/>
  <c r="K555" i="11"/>
  <c r="J555" i="11"/>
  <c r="J120" i="11"/>
  <c r="J169" i="11"/>
  <c r="J279" i="11"/>
  <c r="J359" i="11"/>
  <c r="J421" i="11"/>
  <c r="J936" i="11"/>
  <c r="J116" i="11"/>
  <c r="J165" i="11"/>
  <c r="J277" i="11"/>
  <c r="J356" i="11"/>
  <c r="J418" i="11"/>
  <c r="J933" i="11"/>
  <c r="J114" i="11"/>
  <c r="J163" i="11"/>
  <c r="J354" i="11"/>
  <c r="J931" i="11"/>
  <c r="J115" i="11"/>
  <c r="J164" i="11"/>
  <c r="J275" i="11"/>
  <c r="J355" i="11"/>
  <c r="J932" i="11"/>
  <c r="J113" i="11"/>
  <c r="J162" i="11"/>
  <c r="J273" i="11"/>
  <c r="J353" i="11"/>
  <c r="J930" i="11"/>
  <c r="J111" i="11"/>
  <c r="J160" i="11"/>
  <c r="J271" i="11"/>
  <c r="J351" i="11"/>
  <c r="J928" i="11"/>
  <c r="O456" i="11"/>
  <c r="M456" i="11"/>
  <c r="N12" i="11"/>
  <c r="N24" i="11"/>
  <c r="N36" i="11"/>
  <c r="N48" i="11"/>
  <c r="N60" i="11"/>
  <c r="N72" i="11"/>
  <c r="N84" i="11"/>
  <c r="N96" i="11"/>
  <c r="N108" i="11"/>
  <c r="N120" i="11"/>
  <c r="N145" i="11"/>
  <c r="N157" i="11"/>
  <c r="N169" i="11"/>
  <c r="N184" i="11"/>
  <c r="N198" i="11"/>
  <c r="N201" i="11"/>
  <c r="N204" i="11"/>
  <c r="N207" i="11"/>
  <c r="N216" i="11"/>
  <c r="N279" i="11"/>
  <c r="N403" i="11"/>
  <c r="N412" i="11"/>
  <c r="N421" i="11"/>
  <c r="O936" i="11"/>
  <c r="N936" i="11"/>
  <c r="N10" i="11"/>
  <c r="N22" i="11"/>
  <c r="N34" i="11"/>
  <c r="N46" i="11"/>
  <c r="N58" i="11"/>
  <c r="N70" i="11"/>
  <c r="N82" i="11"/>
  <c r="N94" i="11"/>
  <c r="N106" i="11"/>
  <c r="N118" i="11"/>
  <c r="N11" i="11"/>
  <c r="N23" i="11"/>
  <c r="N35" i="11"/>
  <c r="N47" i="11"/>
  <c r="N83" i="11"/>
  <c r="N95" i="11"/>
  <c r="N119" i="11"/>
  <c r="N143" i="11"/>
  <c r="N155" i="11"/>
  <c r="N167" i="11"/>
  <c r="N156" i="11"/>
  <c r="N168" i="11"/>
  <c r="N183" i="11"/>
  <c r="N336" i="11"/>
  <c r="N347" i="11"/>
  <c r="N358" i="11"/>
  <c r="N402" i="11"/>
  <c r="N411" i="11"/>
  <c r="N420" i="11"/>
  <c r="O935" i="11"/>
  <c r="N935" i="11"/>
  <c r="N9" i="11"/>
  <c r="N21" i="11"/>
  <c r="N33" i="11"/>
  <c r="N45" i="11"/>
  <c r="N57" i="11"/>
  <c r="N69" i="11"/>
  <c r="N81" i="11"/>
  <c r="N93" i="11"/>
  <c r="N105" i="11"/>
  <c r="N117" i="11"/>
  <c r="N142" i="11"/>
  <c r="N154" i="11"/>
  <c r="N166" i="11"/>
  <c r="N181" i="11"/>
  <c r="N212" i="11"/>
  <c r="N218" i="11"/>
  <c r="N228" i="11"/>
  <c r="N248" i="11"/>
  <c r="N268" i="11"/>
  <c r="N278" i="11"/>
  <c r="N335" i="11"/>
  <c r="N346" i="11"/>
  <c r="N357" i="11"/>
  <c r="N401" i="11"/>
  <c r="N410" i="11"/>
  <c r="N419" i="11"/>
  <c r="O934" i="11"/>
  <c r="N934" i="11"/>
  <c r="N8" i="11"/>
  <c r="N20" i="11"/>
  <c r="N32" i="11"/>
  <c r="N44" i="11"/>
  <c r="N56" i="11"/>
  <c r="N68" i="11"/>
  <c r="N80" i="11"/>
  <c r="N92" i="11"/>
  <c r="N104" i="11"/>
  <c r="N116" i="11"/>
  <c r="N141" i="11"/>
  <c r="N153" i="11"/>
  <c r="N165" i="11"/>
  <c r="N180" i="11"/>
  <c r="N227" i="11"/>
  <c r="N237" i="11"/>
  <c r="N247" i="11"/>
  <c r="N267" i="11"/>
  <c r="N277" i="11"/>
  <c r="N345" i="11"/>
  <c r="N400" i="11"/>
  <c r="N409" i="11"/>
  <c r="N418" i="11"/>
  <c r="O933" i="11"/>
  <c r="N7" i="11"/>
  <c r="N19" i="11"/>
  <c r="N31" i="11"/>
  <c r="N43" i="11"/>
  <c r="N55" i="11"/>
  <c r="N67" i="11"/>
  <c r="N79" i="11"/>
  <c r="N103" i="11"/>
  <c r="N115" i="11"/>
  <c r="N140" i="11"/>
  <c r="N152" i="11"/>
  <c r="N164" i="11"/>
  <c r="N225" i="11"/>
  <c r="N235" i="11"/>
  <c r="N245" i="11"/>
  <c r="N265" i="11"/>
  <c r="N275" i="11"/>
  <c r="N333" i="11"/>
  <c r="N344" i="11"/>
  <c r="N355" i="11"/>
  <c r="O932" i="11"/>
  <c r="N932" i="11"/>
  <c r="N18" i="11"/>
  <c r="N42" i="11"/>
  <c r="N54" i="11"/>
  <c r="N66" i="11"/>
  <c r="N78" i="11"/>
  <c r="N90" i="11"/>
  <c r="N102" i="11"/>
  <c r="N114" i="11"/>
  <c r="N139" i="11"/>
  <c r="N151" i="11"/>
  <c r="N163" i="11"/>
  <c r="N321" i="11"/>
  <c r="N332" i="11"/>
  <c r="N343" i="11"/>
  <c r="N354" i="11"/>
  <c r="O931" i="11"/>
  <c r="N931" i="11"/>
  <c r="N5" i="11"/>
  <c r="N17" i="11"/>
  <c r="N29" i="11"/>
  <c r="N41" i="11"/>
  <c r="N53" i="11"/>
  <c r="N65" i="11"/>
  <c r="N77" i="11"/>
  <c r="N89" i="11"/>
  <c r="N101" i="11"/>
  <c r="N113" i="11"/>
  <c r="N126" i="11"/>
  <c r="N138" i="11"/>
  <c r="N150" i="11"/>
  <c r="N162" i="11"/>
  <c r="N177" i="11"/>
  <c r="N195" i="11"/>
  <c r="N223" i="11"/>
  <c r="N233" i="11"/>
  <c r="N243" i="11"/>
  <c r="N263" i="11"/>
  <c r="N273" i="11"/>
  <c r="N320" i="11"/>
  <c r="N331" i="11"/>
  <c r="N342" i="11"/>
  <c r="N353" i="11"/>
  <c r="O930" i="11"/>
  <c r="N930" i="11"/>
  <c r="N28" i="11"/>
  <c r="N40" i="11"/>
  <c r="N52" i="11"/>
  <c r="N64" i="11"/>
  <c r="N76" i="11"/>
  <c r="N88" i="11"/>
  <c r="N100" i="11"/>
  <c r="N112" i="11"/>
  <c r="N125" i="11"/>
  <c r="N137" i="11"/>
  <c r="N149" i="11"/>
  <c r="N161" i="11"/>
  <c r="N176" i="11"/>
  <c r="N220" i="11"/>
  <c r="N230" i="11"/>
  <c r="N260" i="11"/>
  <c r="N270" i="11"/>
  <c r="O929" i="11"/>
  <c r="N929" i="11"/>
  <c r="L120" i="11"/>
  <c r="L169" i="11"/>
  <c r="L279" i="11"/>
  <c r="L359" i="11"/>
  <c r="L421" i="11"/>
  <c r="M936" i="11"/>
  <c r="L936" i="11"/>
  <c r="L117" i="11"/>
  <c r="L166" i="11"/>
  <c r="L278" i="11"/>
  <c r="L357" i="11"/>
  <c r="L419" i="11"/>
  <c r="M934" i="11"/>
  <c r="L934" i="11"/>
  <c r="L116" i="11"/>
  <c r="L165" i="11"/>
  <c r="L277" i="11"/>
  <c r="L356" i="11"/>
  <c r="L418" i="11"/>
  <c r="M933" i="11"/>
  <c r="L933" i="11"/>
  <c r="L115" i="11"/>
  <c r="L164" i="11"/>
  <c r="L275" i="11"/>
  <c r="L355" i="11"/>
  <c r="M932" i="11"/>
  <c r="L932" i="11"/>
  <c r="L114" i="11"/>
  <c r="L163" i="11"/>
  <c r="L354" i="11"/>
  <c r="M931" i="11"/>
  <c r="L931" i="11"/>
  <c r="L113" i="11"/>
  <c r="L162" i="11"/>
  <c r="L273" i="11"/>
  <c r="L353" i="11"/>
  <c r="M930" i="11"/>
  <c r="L930" i="11"/>
  <c r="L112" i="11"/>
  <c r="L161" i="11"/>
  <c r="L270" i="11"/>
  <c r="M929" i="11"/>
  <c r="L929" i="11"/>
  <c r="N3" i="11"/>
  <c r="N15" i="11"/>
  <c r="N27" i="11"/>
  <c r="N39" i="11"/>
  <c r="N51" i="11"/>
  <c r="N63" i="11"/>
  <c r="N75" i="11"/>
  <c r="N87" i="11"/>
  <c r="N99" i="11"/>
  <c r="N111" i="11"/>
  <c r="N124" i="11"/>
  <c r="N136" i="11"/>
  <c r="N148" i="11"/>
  <c r="N160" i="11"/>
  <c r="N175" i="11"/>
  <c r="N190" i="11"/>
  <c r="N241" i="11"/>
  <c r="N261" i="11"/>
  <c r="N271" i="11"/>
  <c r="O928" i="11"/>
  <c r="N928" i="11"/>
  <c r="L111" i="11"/>
  <c r="L160" i="11"/>
  <c r="L271" i="11"/>
  <c r="M928" i="11"/>
  <c r="L928" i="11"/>
  <c r="K936" i="11"/>
  <c r="J118" i="11"/>
  <c r="J119" i="11"/>
  <c r="J167" i="11"/>
  <c r="J168" i="11"/>
  <c r="J358" i="11"/>
  <c r="J420" i="11"/>
  <c r="K935" i="11"/>
  <c r="J935" i="11"/>
  <c r="J117" i="11"/>
  <c r="J166" i="11"/>
  <c r="J278" i="11"/>
  <c r="J357" i="11"/>
  <c r="J419" i="11"/>
  <c r="K934" i="11"/>
  <c r="J934" i="11"/>
  <c r="K933" i="11"/>
  <c r="K932" i="11"/>
  <c r="K931" i="11"/>
  <c r="K930" i="11"/>
  <c r="J112" i="11"/>
  <c r="J161" i="11"/>
  <c r="J270" i="11"/>
  <c r="J352" i="11"/>
  <c r="K929" i="11"/>
  <c r="J929" i="11"/>
  <c r="K928" i="11"/>
  <c r="O457" i="11"/>
  <c r="M457" i="11"/>
  <c r="K457" i="11"/>
  <c r="K458" i="11"/>
  <c r="M458" i="11"/>
  <c r="O458" i="11"/>
  <c r="O425" i="11"/>
  <c r="M425" i="11"/>
  <c r="K425" i="11"/>
  <c r="O282" i="11"/>
  <c r="M282" i="11"/>
  <c r="K282" i="11"/>
  <c r="O281" i="11"/>
  <c r="M281" i="11"/>
  <c r="K281" i="11"/>
  <c r="K171" i="11"/>
  <c r="M171" i="11"/>
  <c r="K897" i="11"/>
  <c r="K888" i="11"/>
  <c r="K880" i="11"/>
  <c r="K858" i="11"/>
  <c r="K835" i="11"/>
  <c r="K820" i="11"/>
  <c r="K809" i="11"/>
  <c r="K719" i="11"/>
  <c r="K718" i="11"/>
  <c r="K703" i="11"/>
  <c r="K690" i="11"/>
  <c r="K682" i="11"/>
  <c r="K658" i="11"/>
  <c r="K650" i="11"/>
  <c r="K636" i="11"/>
  <c r="O280" i="11"/>
  <c r="M280" i="11"/>
  <c r="K280" i="11"/>
  <c r="O495" i="11"/>
  <c r="M495" i="11"/>
  <c r="K495" i="11"/>
  <c r="J455" i="11"/>
  <c r="K455" i="11"/>
  <c r="L455" i="11"/>
  <c r="N431" i="11"/>
  <c r="N434" i="11"/>
  <c r="N437" i="11"/>
  <c r="N440" i="11"/>
  <c r="N443" i="11"/>
  <c r="N446" i="11"/>
  <c r="N449" i="11"/>
  <c r="N452" i="11"/>
  <c r="N455" i="11"/>
  <c r="K456" i="11"/>
  <c r="N430" i="11"/>
  <c r="N436" i="11"/>
  <c r="N439" i="11"/>
  <c r="N442" i="11"/>
  <c r="N445" i="11"/>
  <c r="N448" i="11"/>
  <c r="N451" i="11"/>
  <c r="N454" i="11"/>
  <c r="L454" i="11"/>
  <c r="K454" i="11"/>
  <c r="J454" i="11"/>
  <c r="J417" i="11"/>
  <c r="K417" i="11"/>
  <c r="L417" i="11"/>
  <c r="M417" i="11"/>
  <c r="N390" i="11"/>
  <c r="N399" i="11"/>
  <c r="N408" i="11"/>
  <c r="N417" i="11"/>
  <c r="O417" i="11"/>
  <c r="K418" i="11"/>
  <c r="M418" i="11"/>
  <c r="O418" i="11"/>
  <c r="K419" i="11"/>
  <c r="M419" i="11"/>
  <c r="O419" i="11"/>
  <c r="K420" i="11"/>
  <c r="M420" i="11"/>
  <c r="O420" i="11"/>
  <c r="K421" i="11"/>
  <c r="M421" i="11"/>
  <c r="O421" i="11"/>
  <c r="J422" i="11"/>
  <c r="K422" i="11"/>
  <c r="L422" i="11"/>
  <c r="M422" i="11"/>
  <c r="N395" i="11"/>
  <c r="N404" i="11"/>
  <c r="N413" i="11"/>
  <c r="N422" i="11"/>
  <c r="O422" i="11"/>
  <c r="J423" i="11"/>
  <c r="K423" i="11"/>
  <c r="L423" i="11"/>
  <c r="M423" i="11"/>
  <c r="N396" i="11"/>
  <c r="N405" i="11"/>
  <c r="N423" i="11"/>
  <c r="O423" i="11"/>
  <c r="K424" i="11"/>
  <c r="M424" i="11"/>
  <c r="O424" i="11"/>
  <c r="O416" i="11"/>
  <c r="M416" i="11"/>
  <c r="K416" i="11"/>
  <c r="O370" i="11"/>
  <c r="M370" i="11"/>
  <c r="K370" i="11"/>
  <c r="K351" i="11"/>
  <c r="K352" i="11"/>
  <c r="K353" i="11"/>
  <c r="M353" i="11"/>
  <c r="O353" i="11"/>
  <c r="K354" i="11"/>
  <c r="M354" i="11"/>
  <c r="O354" i="11"/>
  <c r="M355" i="11"/>
  <c r="O355" i="11"/>
  <c r="K356" i="11"/>
  <c r="M356" i="11"/>
  <c r="O356" i="11"/>
  <c r="K357" i="11"/>
  <c r="M357" i="11"/>
  <c r="O357" i="11"/>
  <c r="K358" i="11"/>
  <c r="M358" i="11"/>
  <c r="O358" i="11"/>
  <c r="M359" i="11"/>
  <c r="K360" i="11"/>
  <c r="M360" i="11"/>
  <c r="O360" i="11"/>
  <c r="O350" i="11"/>
  <c r="M350" i="11"/>
  <c r="K350" i="11"/>
  <c r="O302" i="11"/>
  <c r="M302" i="11"/>
  <c r="K302" i="11"/>
  <c r="O294" i="11"/>
  <c r="M294" i="11"/>
  <c r="K294" i="11"/>
  <c r="K271" i="11"/>
  <c r="M271" i="11"/>
  <c r="N251" i="11"/>
  <c r="O271" i="11"/>
  <c r="J272" i="11"/>
  <c r="K272" i="11"/>
  <c r="L272" i="11"/>
  <c r="M272" i="11"/>
  <c r="N222" i="11"/>
  <c r="N232" i="11"/>
  <c r="N242" i="11"/>
  <c r="N262" i="11"/>
  <c r="N272" i="11"/>
  <c r="N252" i="11"/>
  <c r="O272" i="11"/>
  <c r="K273" i="11"/>
  <c r="M273" i="11"/>
  <c r="N253" i="11"/>
  <c r="O273" i="11"/>
  <c r="K274" i="11"/>
  <c r="M274" i="11"/>
  <c r="N254" i="11"/>
  <c r="O274" i="11"/>
  <c r="K275" i="11"/>
  <c r="M275" i="11"/>
  <c r="N255" i="11"/>
  <c r="O275" i="11"/>
  <c r="J276" i="11"/>
  <c r="K276" i="11"/>
  <c r="L276" i="11"/>
  <c r="M276" i="11"/>
  <c r="N226" i="11"/>
  <c r="N266" i="11"/>
  <c r="N276" i="11"/>
  <c r="N256" i="11"/>
  <c r="O276" i="11"/>
  <c r="K277" i="11"/>
  <c r="M277" i="11"/>
  <c r="O277" i="11"/>
  <c r="K278" i="11"/>
  <c r="M278" i="11"/>
  <c r="O278" i="11"/>
  <c r="K279" i="11"/>
  <c r="M279" i="11"/>
  <c r="O279" i="11"/>
  <c r="N250" i="11"/>
  <c r="O270" i="11"/>
  <c r="M270" i="11"/>
  <c r="K270" i="11"/>
  <c r="K160" i="11"/>
  <c r="M160" i="11"/>
  <c r="O160" i="11"/>
  <c r="K161" i="11"/>
  <c r="M161" i="11"/>
  <c r="O161" i="11"/>
  <c r="K162" i="11"/>
  <c r="M162" i="11"/>
  <c r="O162" i="11"/>
  <c r="K163" i="11"/>
  <c r="M163" i="11"/>
  <c r="O163" i="11"/>
  <c r="K164" i="11"/>
  <c r="M164" i="11"/>
  <c r="O164" i="11"/>
  <c r="K165" i="11"/>
  <c r="M165" i="11"/>
  <c r="O165" i="11"/>
  <c r="K166" i="11"/>
  <c r="M166" i="11"/>
  <c r="O166" i="11"/>
  <c r="K167" i="11"/>
  <c r="M167" i="11"/>
  <c r="O167" i="11"/>
  <c r="K169" i="11"/>
  <c r="M169" i="11"/>
  <c r="O169" i="11"/>
  <c r="K170" i="11"/>
  <c r="M170" i="11"/>
  <c r="O170" i="11"/>
  <c r="O159" i="11"/>
  <c r="M159" i="11"/>
  <c r="K159" i="11"/>
  <c r="K111" i="11"/>
  <c r="M111" i="11"/>
  <c r="O111" i="11"/>
  <c r="K112" i="11"/>
  <c r="M112" i="11"/>
  <c r="O112" i="11"/>
  <c r="K113" i="11"/>
  <c r="M113" i="11"/>
  <c r="O113" i="11"/>
  <c r="K114" i="11"/>
  <c r="M114" i="11"/>
  <c r="O114" i="11"/>
  <c r="K115" i="11"/>
  <c r="M115" i="11"/>
  <c r="O115" i="11"/>
  <c r="K116" i="11"/>
  <c r="M116" i="11"/>
  <c r="O116" i="11"/>
  <c r="K117" i="11"/>
  <c r="M117" i="11"/>
  <c r="O117" i="11"/>
  <c r="K118" i="11"/>
  <c r="M118" i="11"/>
  <c r="O118" i="11"/>
  <c r="K119" i="11"/>
  <c r="M119" i="11"/>
  <c r="O119" i="11"/>
  <c r="K120" i="11"/>
  <c r="M120" i="11"/>
  <c r="O120" i="11"/>
  <c r="K121" i="11"/>
  <c r="M121" i="11"/>
  <c r="O121" i="11"/>
  <c r="O110" i="11"/>
  <c r="M110" i="11"/>
  <c r="K110" i="11"/>
  <c r="L494" i="11"/>
  <c r="L493" i="11"/>
  <c r="L492" i="11"/>
  <c r="L491" i="11"/>
  <c r="J491" i="11"/>
  <c r="O214" i="12"/>
  <c r="L9" i="12"/>
  <c r="L19" i="12"/>
  <c r="L29" i="12"/>
  <c r="L39" i="12"/>
  <c r="L95" i="12"/>
  <c r="L103" i="12"/>
  <c r="L111" i="12"/>
  <c r="L8" i="12"/>
  <c r="L18" i="12"/>
  <c r="L28" i="12"/>
  <c r="L38" i="12"/>
  <c r="L102" i="12"/>
  <c r="L110" i="12"/>
  <c r="M214" i="12"/>
  <c r="L214" i="12"/>
  <c r="J39" i="12"/>
  <c r="J111" i="12"/>
  <c r="K214" i="12"/>
  <c r="J105" i="12"/>
  <c r="J216" i="12"/>
  <c r="O210" i="12"/>
  <c r="N210" i="12"/>
  <c r="M210" i="12"/>
  <c r="L210" i="12"/>
  <c r="K210" i="12"/>
  <c r="O50" i="12"/>
  <c r="O56" i="12"/>
  <c r="O43" i="12"/>
  <c r="O123" i="12"/>
  <c r="M43" i="12"/>
  <c r="M123" i="12"/>
  <c r="K43" i="12"/>
  <c r="K123" i="12"/>
  <c r="N67" i="12"/>
  <c r="N78" i="12"/>
  <c r="N90" i="12"/>
  <c r="N98" i="12"/>
  <c r="N106" i="12"/>
  <c r="O217" i="12"/>
  <c r="N217" i="12"/>
  <c r="N68" i="12"/>
  <c r="N79" i="12"/>
  <c r="N99" i="12"/>
  <c r="N107" i="12"/>
  <c r="O218" i="12"/>
  <c r="N218" i="12"/>
  <c r="N69" i="12"/>
  <c r="N80" i="12"/>
  <c r="N108" i="12"/>
  <c r="O219" i="12"/>
  <c r="N219" i="12"/>
  <c r="N70" i="12"/>
  <c r="N81" i="12"/>
  <c r="N101" i="12"/>
  <c r="N109" i="12"/>
  <c r="O220" i="12"/>
  <c r="N220" i="12"/>
  <c r="L93" i="12"/>
  <c r="L101" i="12"/>
  <c r="L109" i="12"/>
  <c r="M220" i="12"/>
  <c r="L220" i="12"/>
  <c r="L92" i="12"/>
  <c r="L108" i="12"/>
  <c r="M219" i="12"/>
  <c r="L219" i="12"/>
  <c r="L99" i="12"/>
  <c r="L107" i="12"/>
  <c r="M218" i="12"/>
  <c r="L218" i="12"/>
  <c r="L90" i="12"/>
  <c r="L98" i="12"/>
  <c r="L106" i="12"/>
  <c r="M217" i="12"/>
  <c r="L217" i="12"/>
  <c r="N66" i="12"/>
  <c r="N77" i="12"/>
  <c r="N89" i="12"/>
  <c r="N97" i="12"/>
  <c r="N105" i="12"/>
  <c r="O216" i="12"/>
  <c r="N216" i="12"/>
  <c r="L89" i="12"/>
  <c r="L97" i="12"/>
  <c r="L105" i="12"/>
  <c r="M216" i="12"/>
  <c r="L216" i="12"/>
  <c r="J109" i="12"/>
  <c r="K220" i="12"/>
  <c r="J220" i="12"/>
  <c r="J108" i="12"/>
  <c r="K219" i="12"/>
  <c r="J219" i="12"/>
  <c r="J107" i="12"/>
  <c r="K218" i="12"/>
  <c r="J218" i="12"/>
  <c r="J106" i="12"/>
  <c r="K217" i="12"/>
  <c r="J217" i="12"/>
  <c r="K216" i="12"/>
  <c r="O186" i="12"/>
  <c r="N84" i="12"/>
  <c r="N71" i="12"/>
  <c r="N72" i="12"/>
  <c r="J35" i="12"/>
  <c r="K35" i="12"/>
  <c r="N35" i="12"/>
  <c r="O35" i="12"/>
  <c r="J36" i="12"/>
  <c r="K36" i="12"/>
  <c r="J37" i="12"/>
  <c r="K37" i="12"/>
  <c r="L7" i="12"/>
  <c r="L17" i="12"/>
  <c r="L27" i="12"/>
  <c r="L37" i="12"/>
  <c r="M37" i="12"/>
  <c r="N37" i="12"/>
  <c r="O37" i="12"/>
  <c r="K38" i="12"/>
  <c r="M38" i="12"/>
  <c r="O38" i="12"/>
  <c r="K39" i="12"/>
  <c r="M39" i="12"/>
  <c r="O39" i="12"/>
  <c r="J40" i="12"/>
  <c r="K40" i="12"/>
  <c r="L10" i="12"/>
  <c r="L20" i="12"/>
  <c r="L30" i="12"/>
  <c r="L40" i="12"/>
  <c r="M40" i="12"/>
  <c r="N40" i="12"/>
  <c r="O40" i="12"/>
  <c r="J41" i="12"/>
  <c r="K41" i="12"/>
  <c r="L11" i="12"/>
  <c r="L31" i="12"/>
  <c r="L41" i="12"/>
  <c r="M41" i="12"/>
  <c r="N41" i="12"/>
  <c r="O41" i="12"/>
  <c r="J42" i="12"/>
  <c r="K42" i="12"/>
  <c r="L12" i="12"/>
  <c r="L22" i="12"/>
  <c r="L32" i="12"/>
  <c r="L42" i="12"/>
  <c r="M42" i="12"/>
  <c r="N42" i="12"/>
  <c r="O42" i="12"/>
  <c r="K34" i="12"/>
  <c r="J34" i="12"/>
  <c r="J195" i="12"/>
  <c r="L198" i="13"/>
  <c r="L213" i="13"/>
  <c r="L228" i="13"/>
  <c r="L214" i="13"/>
  <c r="L229" i="13"/>
  <c r="L200" i="13"/>
  <c r="L215" i="13"/>
  <c r="L230" i="13"/>
  <c r="N201" i="13"/>
  <c r="L201" i="13"/>
  <c r="N216" i="13"/>
  <c r="L216" i="13"/>
  <c r="L231" i="13"/>
  <c r="L30" i="13"/>
  <c r="L73" i="13"/>
  <c r="N91" i="13"/>
  <c r="L91" i="13"/>
  <c r="N107" i="13"/>
  <c r="L107" i="13"/>
  <c r="L123" i="13"/>
  <c r="N142" i="13"/>
  <c r="L142" i="13"/>
  <c r="N158" i="13"/>
  <c r="L158" i="13"/>
  <c r="L174" i="13"/>
  <c r="N316" i="13"/>
  <c r="L316" i="13"/>
  <c r="N334" i="13"/>
  <c r="L334" i="13"/>
  <c r="N349" i="13"/>
  <c r="L349" i="13"/>
  <c r="N364" i="13"/>
  <c r="L364" i="13"/>
  <c r="N379" i="13"/>
  <c r="L379" i="13"/>
  <c r="L394" i="13"/>
  <c r="N412" i="13"/>
  <c r="L412" i="13"/>
  <c r="L554" i="13"/>
  <c r="L623" i="13"/>
  <c r="N228" i="13"/>
  <c r="N229" i="13"/>
  <c r="N230" i="13"/>
  <c r="N231" i="13"/>
  <c r="N10" i="13"/>
  <c r="N20" i="13"/>
  <c r="N30" i="13"/>
  <c r="N49" i="13"/>
  <c r="N57" i="13"/>
  <c r="N65" i="13"/>
  <c r="N73" i="13"/>
  <c r="N123" i="13"/>
  <c r="N174" i="13"/>
  <c r="N394" i="13"/>
  <c r="N520" i="13"/>
  <c r="N537" i="13"/>
  <c r="N554" i="13"/>
  <c r="O623" i="13"/>
  <c r="N623" i="13"/>
  <c r="M623" i="13"/>
  <c r="K623" i="13"/>
  <c r="N8" i="13"/>
  <c r="N18" i="13"/>
  <c r="N28" i="13"/>
  <c r="N48" i="13"/>
  <c r="N56" i="13"/>
  <c r="N72" i="13"/>
  <c r="N87" i="13"/>
  <c r="N103" i="13"/>
  <c r="N119" i="13"/>
  <c r="N154" i="13"/>
  <c r="N170" i="13"/>
  <c r="N330" i="13"/>
  <c r="N390" i="13"/>
  <c r="N516" i="13"/>
  <c r="N533" i="13"/>
  <c r="N550" i="13"/>
  <c r="O621" i="13"/>
  <c r="N621" i="13"/>
  <c r="L28" i="13"/>
  <c r="L72" i="13"/>
  <c r="L87" i="13"/>
  <c r="L103" i="13"/>
  <c r="L119" i="13"/>
  <c r="L138" i="13"/>
  <c r="L154" i="13"/>
  <c r="L170" i="13"/>
  <c r="L312" i="13"/>
  <c r="L330" i="13"/>
  <c r="L360" i="13"/>
  <c r="L375" i="13"/>
  <c r="L390" i="13"/>
  <c r="L408" i="13"/>
  <c r="L550" i="13"/>
  <c r="M621" i="13"/>
  <c r="L621" i="13"/>
  <c r="J28" i="13"/>
  <c r="J72" i="13"/>
  <c r="J119" i="13"/>
  <c r="J170" i="13"/>
  <c r="J390" i="13"/>
  <c r="J550" i="13"/>
  <c r="K621" i="13"/>
  <c r="J621" i="13"/>
  <c r="N161" i="13"/>
  <c r="N226" i="13"/>
  <c r="N382" i="13"/>
  <c r="O624" i="13"/>
  <c r="N624" i="13"/>
  <c r="L129" i="13"/>
  <c r="L145" i="13"/>
  <c r="L161" i="13"/>
  <c r="L196" i="13"/>
  <c r="L226" i="13"/>
  <c r="L322" i="13"/>
  <c r="L352" i="13"/>
  <c r="L367" i="13"/>
  <c r="L382" i="13"/>
  <c r="M624" i="13"/>
  <c r="L624" i="13"/>
  <c r="J161" i="13"/>
  <c r="J226" i="13"/>
  <c r="J382" i="13"/>
  <c r="K624" i="13"/>
  <c r="J624" i="13"/>
  <c r="L27" i="13"/>
  <c r="L71" i="13"/>
  <c r="N84" i="13"/>
  <c r="L84" i="13"/>
  <c r="L100" i="13"/>
  <c r="L116" i="13"/>
  <c r="N135" i="13"/>
  <c r="L135" i="13"/>
  <c r="N151" i="13"/>
  <c r="L151" i="13"/>
  <c r="L167" i="13"/>
  <c r="L309" i="13"/>
  <c r="L327" i="13"/>
  <c r="L342" i="13"/>
  <c r="L372" i="13"/>
  <c r="L387" i="13"/>
  <c r="L405" i="13"/>
  <c r="L547" i="13"/>
  <c r="M620" i="13"/>
  <c r="L620" i="13"/>
  <c r="L26" i="13"/>
  <c r="L70" i="13"/>
  <c r="L83" i="13"/>
  <c r="L99" i="13"/>
  <c r="L115" i="13"/>
  <c r="L134" i="13"/>
  <c r="L150" i="13"/>
  <c r="L166" i="13"/>
  <c r="L308" i="13"/>
  <c r="L326" i="13"/>
  <c r="L341" i="13"/>
  <c r="L356" i="13"/>
  <c r="L371" i="13"/>
  <c r="L386" i="13"/>
  <c r="L404" i="13"/>
  <c r="L546" i="13"/>
  <c r="M619" i="13"/>
  <c r="L619" i="13"/>
  <c r="N7" i="13"/>
  <c r="N17" i="13"/>
  <c r="N27" i="13"/>
  <c r="N47" i="13"/>
  <c r="N55" i="13"/>
  <c r="N63" i="13"/>
  <c r="N71" i="13"/>
  <c r="N116" i="13"/>
  <c r="N167" i="13"/>
  <c r="N387" i="13"/>
  <c r="N513" i="13"/>
  <c r="N530" i="13"/>
  <c r="N547" i="13"/>
  <c r="O620" i="13"/>
  <c r="N620" i="13"/>
  <c r="N6" i="13"/>
  <c r="N16" i="13"/>
  <c r="N26" i="13"/>
  <c r="N46" i="13"/>
  <c r="N54" i="13"/>
  <c r="N62" i="13"/>
  <c r="N70" i="13"/>
  <c r="N115" i="13"/>
  <c r="N166" i="13"/>
  <c r="N386" i="13"/>
  <c r="N512" i="13"/>
  <c r="N529" i="13"/>
  <c r="N546" i="13"/>
  <c r="O619" i="13"/>
  <c r="N619" i="13"/>
  <c r="N5" i="13"/>
  <c r="N15" i="13"/>
  <c r="N25" i="13"/>
  <c r="N45" i="13"/>
  <c r="N53" i="13"/>
  <c r="N69" i="13"/>
  <c r="N114" i="13"/>
  <c r="N165" i="13"/>
  <c r="N385" i="13"/>
  <c r="N511" i="13"/>
  <c r="N528" i="13"/>
  <c r="N545" i="13"/>
  <c r="O618" i="13"/>
  <c r="N618" i="13"/>
  <c r="L25" i="13"/>
  <c r="L69" i="13"/>
  <c r="L82" i="13"/>
  <c r="L98" i="13"/>
  <c r="L114" i="13"/>
  <c r="L133" i="13"/>
  <c r="L149" i="13"/>
  <c r="L165" i="13"/>
  <c r="L307" i="13"/>
  <c r="L325" i="13"/>
  <c r="L340" i="13"/>
  <c r="L355" i="13"/>
  <c r="L370" i="13"/>
  <c r="L385" i="13"/>
  <c r="L403" i="13"/>
  <c r="L545" i="13"/>
  <c r="M618" i="13"/>
  <c r="L618" i="13"/>
  <c r="J27" i="13"/>
  <c r="J71" i="13"/>
  <c r="J116" i="13"/>
  <c r="J167" i="13"/>
  <c r="J387" i="13"/>
  <c r="J547" i="13"/>
  <c r="K620" i="13"/>
  <c r="J620" i="13"/>
  <c r="J26" i="13"/>
  <c r="J70" i="13"/>
  <c r="J115" i="13"/>
  <c r="J166" i="13"/>
  <c r="J386" i="13"/>
  <c r="J546" i="13"/>
  <c r="K619" i="13"/>
  <c r="J619" i="13"/>
  <c r="J25" i="13"/>
  <c r="J69" i="13"/>
  <c r="J114" i="13"/>
  <c r="J165" i="13"/>
  <c r="J385" i="13"/>
  <c r="J545" i="13"/>
  <c r="K618" i="13"/>
  <c r="J618" i="13"/>
  <c r="J617" i="13"/>
  <c r="N2" i="13"/>
  <c r="N12" i="13"/>
  <c r="N22" i="13"/>
  <c r="N113" i="13"/>
  <c r="N164" i="13"/>
  <c r="N227" i="13"/>
  <c r="N384" i="13"/>
  <c r="N508" i="13"/>
  <c r="N525" i="13"/>
  <c r="N542" i="13"/>
  <c r="O616" i="13"/>
  <c r="N616" i="13"/>
  <c r="L22" i="13"/>
  <c r="L81" i="13"/>
  <c r="L97" i="13"/>
  <c r="L113" i="13"/>
  <c r="L132" i="13"/>
  <c r="L148" i="13"/>
  <c r="L164" i="13"/>
  <c r="L197" i="13"/>
  <c r="L212" i="13"/>
  <c r="L227" i="13"/>
  <c r="L306" i="13"/>
  <c r="L324" i="13"/>
  <c r="L339" i="13"/>
  <c r="L354" i="13"/>
  <c r="L384" i="13"/>
  <c r="L402" i="13"/>
  <c r="L542" i="13"/>
  <c r="M616" i="13"/>
  <c r="L616" i="13"/>
  <c r="J22" i="13"/>
  <c r="J113" i="13"/>
  <c r="J164" i="13"/>
  <c r="J227" i="13"/>
  <c r="J384" i="13"/>
  <c r="J542" i="13"/>
  <c r="K616" i="13"/>
  <c r="J616" i="13"/>
  <c r="N4" i="13"/>
  <c r="N14" i="13"/>
  <c r="N24" i="13"/>
  <c r="N112" i="13"/>
  <c r="N163" i="13"/>
  <c r="N225" i="13"/>
  <c r="N383" i="13"/>
  <c r="N509" i="13"/>
  <c r="N526" i="13"/>
  <c r="N543" i="13"/>
  <c r="O615" i="13"/>
  <c r="N615" i="13"/>
  <c r="L24" i="13"/>
  <c r="L80" i="13"/>
  <c r="L96" i="13"/>
  <c r="L112" i="13"/>
  <c r="L131" i="13"/>
  <c r="L147" i="13"/>
  <c r="L163" i="13"/>
  <c r="L195" i="13"/>
  <c r="L210" i="13"/>
  <c r="L225" i="13"/>
  <c r="L305" i="13"/>
  <c r="L323" i="13"/>
  <c r="L338" i="13"/>
  <c r="L353" i="13"/>
  <c r="L368" i="13"/>
  <c r="L383" i="13"/>
  <c r="L543" i="13"/>
  <c r="M615" i="13"/>
  <c r="L615" i="13"/>
  <c r="J24" i="13"/>
  <c r="J112" i="13"/>
  <c r="J163" i="13"/>
  <c r="J225" i="13"/>
  <c r="J383" i="13"/>
  <c r="J543" i="13"/>
  <c r="K615" i="13"/>
  <c r="J615" i="13"/>
  <c r="N38" i="13"/>
  <c r="L38" i="13"/>
  <c r="L68" i="13"/>
  <c r="L469" i="13"/>
  <c r="N490" i="13"/>
  <c r="L490" i="13"/>
  <c r="M614" i="13"/>
  <c r="L23" i="13"/>
  <c r="L67" i="13"/>
  <c r="L77" i="13"/>
  <c r="L93" i="13"/>
  <c r="L109" i="13"/>
  <c r="L128" i="13"/>
  <c r="L144" i="13"/>
  <c r="L160" i="13"/>
  <c r="N192" i="13"/>
  <c r="L192" i="13"/>
  <c r="N207" i="13"/>
  <c r="L207" i="13"/>
  <c r="L222" i="13"/>
  <c r="N258" i="13"/>
  <c r="L258" i="13"/>
  <c r="L303" i="13"/>
  <c r="N321" i="13"/>
  <c r="L321" i="13"/>
  <c r="L336" i="13"/>
  <c r="L351" i="13"/>
  <c r="L366" i="13"/>
  <c r="L381" i="13"/>
  <c r="L399" i="13"/>
  <c r="N423" i="13"/>
  <c r="L423" i="13"/>
  <c r="L470" i="13"/>
  <c r="L541" i="13"/>
  <c r="M613" i="13"/>
  <c r="L614" i="13"/>
  <c r="L613" i="13"/>
  <c r="N283" i="13"/>
  <c r="N287" i="13"/>
  <c r="N292" i="13"/>
  <c r="N44" i="13"/>
  <c r="N52" i="13"/>
  <c r="N60" i="13"/>
  <c r="N68" i="13"/>
  <c r="N185" i="13"/>
  <c r="N245" i="13"/>
  <c r="N434" i="13"/>
  <c r="N441" i="13"/>
  <c r="N448" i="13"/>
  <c r="N455" i="13"/>
  <c r="N462" i="13"/>
  <c r="N469" i="13"/>
  <c r="N479" i="13"/>
  <c r="O614" i="13"/>
  <c r="N614" i="13"/>
  <c r="J68" i="13"/>
  <c r="J469" i="13"/>
  <c r="K614" i="13"/>
  <c r="J614" i="13"/>
  <c r="N186" i="13"/>
  <c r="N222" i="13"/>
  <c r="N3" i="13"/>
  <c r="N13" i="13"/>
  <c r="N23" i="13"/>
  <c r="N43" i="13"/>
  <c r="N51" i="13"/>
  <c r="N59" i="13"/>
  <c r="N67" i="13"/>
  <c r="N109" i="13"/>
  <c r="N160" i="13"/>
  <c r="N246" i="13"/>
  <c r="N273" i="13"/>
  <c r="N296" i="13"/>
  <c r="N381" i="13"/>
  <c r="N435" i="13"/>
  <c r="N442" i="13"/>
  <c r="N449" i="13"/>
  <c r="N456" i="13"/>
  <c r="N463" i="13"/>
  <c r="N470" i="13"/>
  <c r="N480" i="13"/>
  <c r="N507" i="13"/>
  <c r="N524" i="13"/>
  <c r="N541" i="13"/>
  <c r="O613" i="13"/>
  <c r="N613" i="13"/>
  <c r="J222" i="13"/>
  <c r="J23" i="13"/>
  <c r="J67" i="13"/>
  <c r="J109" i="13"/>
  <c r="J160" i="13"/>
  <c r="J381" i="13"/>
  <c r="J470" i="13"/>
  <c r="J541" i="13"/>
  <c r="K613" i="13"/>
  <c r="J613" i="13"/>
  <c r="N609" i="13"/>
  <c r="N607" i="13"/>
  <c r="L607" i="13"/>
  <c r="J575" i="13"/>
  <c r="K575" i="13"/>
  <c r="J586" i="13"/>
  <c r="K586" i="13"/>
  <c r="J590" i="13"/>
  <c r="J591" i="13"/>
  <c r="J592" i="13"/>
  <c r="J593" i="13"/>
  <c r="J594" i="13"/>
  <c r="J595" i="13"/>
  <c r="J596" i="13"/>
  <c r="K596" i="13"/>
  <c r="N510" i="13"/>
  <c r="N514" i="13"/>
  <c r="N515" i="13"/>
  <c r="N517" i="13"/>
  <c r="N518" i="13"/>
  <c r="N521" i="13"/>
  <c r="N522" i="13"/>
  <c r="N527" i="13"/>
  <c r="N531" i="13"/>
  <c r="N532" i="13"/>
  <c r="N534" i="13"/>
  <c r="N535" i="13"/>
  <c r="N538" i="13"/>
  <c r="N539" i="13"/>
  <c r="J544" i="13"/>
  <c r="L544" i="13"/>
  <c r="N544" i="13"/>
  <c r="J548" i="13"/>
  <c r="L548" i="13"/>
  <c r="N548" i="13"/>
  <c r="J549" i="13"/>
  <c r="L549" i="13"/>
  <c r="N549" i="13"/>
  <c r="J551" i="13"/>
  <c r="L551" i="13"/>
  <c r="N551" i="13"/>
  <c r="J552" i="13"/>
  <c r="L552" i="13"/>
  <c r="N552" i="13"/>
  <c r="J555" i="13"/>
  <c r="L555" i="13"/>
  <c r="N555" i="13"/>
  <c r="J556" i="13"/>
  <c r="L556" i="13"/>
  <c r="N556" i="13"/>
  <c r="O609" i="13"/>
  <c r="M609" i="13"/>
  <c r="L609" i="13"/>
  <c r="K609" i="13"/>
  <c r="J609" i="13"/>
  <c r="O608" i="13"/>
  <c r="M608" i="13"/>
  <c r="L608" i="13"/>
  <c r="K608" i="13"/>
  <c r="J608" i="13"/>
  <c r="O603" i="13"/>
  <c r="N603" i="13"/>
  <c r="M603" i="13"/>
  <c r="L603" i="13"/>
  <c r="K603" i="13"/>
  <c r="J603" i="13"/>
  <c r="J465" i="13"/>
  <c r="J467" i="13"/>
  <c r="J468" i="13"/>
  <c r="J475" i="13"/>
  <c r="J477" i="13"/>
  <c r="J478" i="13"/>
  <c r="N417" i="13"/>
  <c r="L417" i="13"/>
  <c r="N418" i="13"/>
  <c r="L418" i="13"/>
  <c r="L465" i="13"/>
  <c r="L467" i="13"/>
  <c r="L468" i="13"/>
  <c r="N485" i="13"/>
  <c r="L485" i="13"/>
  <c r="N486" i="13"/>
  <c r="L486" i="13"/>
  <c r="N430" i="13"/>
  <c r="N437" i="13"/>
  <c r="N444" i="13"/>
  <c r="N451" i="13"/>
  <c r="N458" i="13"/>
  <c r="N465" i="13"/>
  <c r="N432" i="13"/>
  <c r="N439" i="13"/>
  <c r="N446" i="13"/>
  <c r="N453" i="13"/>
  <c r="N460" i="13"/>
  <c r="N467" i="13"/>
  <c r="N433" i="13"/>
  <c r="N440" i="13"/>
  <c r="N447" i="13"/>
  <c r="N454" i="13"/>
  <c r="N461" i="13"/>
  <c r="N468" i="13"/>
  <c r="N475" i="13"/>
  <c r="N477" i="13"/>
  <c r="N478" i="13"/>
  <c r="N495" i="13"/>
  <c r="N497" i="13"/>
  <c r="J235" i="13"/>
  <c r="J393" i="13"/>
  <c r="N235" i="13"/>
  <c r="N260" i="13"/>
  <c r="N261" i="13"/>
  <c r="N274" i="13"/>
  <c r="N275" i="13"/>
  <c r="N393" i="13"/>
  <c r="N424" i="13"/>
  <c r="N425" i="13"/>
  <c r="L205" i="13"/>
  <c r="L220" i="13"/>
  <c r="L235" i="13"/>
  <c r="L260" i="13"/>
  <c r="L261" i="13"/>
  <c r="L363" i="13"/>
  <c r="L393" i="13"/>
  <c r="L424" i="13"/>
  <c r="L425" i="13"/>
  <c r="N187" i="13"/>
  <c r="N247" i="13"/>
  <c r="N298" i="13"/>
  <c r="O617" i="13"/>
  <c r="N617" i="13"/>
  <c r="M617" i="13"/>
  <c r="L617" i="13"/>
  <c r="K617" i="13"/>
  <c r="K564" i="13"/>
  <c r="M564" i="13"/>
  <c r="O564" i="13"/>
  <c r="L130" i="13"/>
  <c r="L146" i="13"/>
  <c r="L162" i="13"/>
  <c r="N162" i="13"/>
  <c r="L136" i="13"/>
  <c r="N152" i="13"/>
  <c r="L152" i="13"/>
  <c r="L168" i="13"/>
  <c r="N168" i="13"/>
  <c r="L137" i="13"/>
  <c r="L153" i="13"/>
  <c r="L169" i="13"/>
  <c r="N169" i="13"/>
  <c r="N139" i="13"/>
  <c r="L139" i="13"/>
  <c r="N155" i="13"/>
  <c r="L155" i="13"/>
  <c r="L171" i="13"/>
  <c r="N171" i="13"/>
  <c r="L140" i="13"/>
  <c r="N156" i="13"/>
  <c r="L156" i="13"/>
  <c r="L172" i="13"/>
  <c r="N172" i="13"/>
  <c r="J162" i="13"/>
  <c r="J168" i="13"/>
  <c r="J169" i="13"/>
  <c r="J171" i="13"/>
  <c r="J172" i="13"/>
  <c r="J111" i="13"/>
  <c r="L79" i="13"/>
  <c r="L95" i="13"/>
  <c r="L111" i="13"/>
  <c r="N111" i="13"/>
  <c r="J117" i="13"/>
  <c r="N101" i="13"/>
  <c r="L101" i="13"/>
  <c r="L117" i="13"/>
  <c r="N117" i="13"/>
  <c r="J118" i="13"/>
  <c r="L102" i="13"/>
  <c r="L118" i="13"/>
  <c r="N118" i="13"/>
  <c r="J120" i="13"/>
  <c r="N104" i="13"/>
  <c r="L104" i="13"/>
  <c r="L120" i="13"/>
  <c r="N120" i="13"/>
  <c r="J121" i="13"/>
  <c r="L105" i="13"/>
  <c r="L121" i="13"/>
  <c r="N121" i="13"/>
  <c r="K225" i="13"/>
  <c r="M225" i="13"/>
  <c r="O225" i="13"/>
  <c r="K226" i="13"/>
  <c r="O226" i="13"/>
  <c r="K227" i="13"/>
  <c r="M227" i="13"/>
  <c r="O227" i="13"/>
  <c r="K228" i="13"/>
  <c r="M228" i="13"/>
  <c r="O228" i="13"/>
  <c r="K229" i="13"/>
  <c r="O229" i="13"/>
  <c r="K230" i="13"/>
  <c r="M230" i="13"/>
  <c r="O230" i="13"/>
  <c r="K231" i="13"/>
  <c r="M231" i="13"/>
  <c r="O231" i="13"/>
  <c r="J232" i="13"/>
  <c r="K232" i="13"/>
  <c r="L202" i="13"/>
  <c r="L217" i="13"/>
  <c r="L232" i="13"/>
  <c r="M232" i="13"/>
  <c r="N232" i="13"/>
  <c r="O232" i="13"/>
  <c r="K233" i="13"/>
  <c r="O233" i="13"/>
  <c r="J234" i="13"/>
  <c r="K234" i="13"/>
  <c r="L219" i="13"/>
  <c r="L234" i="13"/>
  <c r="N234" i="13"/>
  <c r="O234" i="13"/>
  <c r="K235" i="13"/>
  <c r="M235" i="13"/>
  <c r="O235" i="13"/>
  <c r="K236" i="13"/>
  <c r="M236" i="13"/>
  <c r="O236" i="13"/>
  <c r="O222" i="13"/>
  <c r="M222" i="13"/>
  <c r="K222" i="13"/>
  <c r="N498" i="13"/>
  <c r="M466" i="13"/>
  <c r="O466" i="13"/>
  <c r="M467" i="13"/>
  <c r="O467" i="13"/>
  <c r="M468" i="13"/>
  <c r="O468" i="13"/>
  <c r="M469" i="13"/>
  <c r="O469" i="13"/>
  <c r="M470" i="13"/>
  <c r="O470" i="13"/>
  <c r="M471" i="13"/>
  <c r="O471" i="13"/>
  <c r="O465" i="13"/>
  <c r="M465" i="13"/>
  <c r="N420" i="13"/>
  <c r="L420" i="13"/>
  <c r="N421" i="13"/>
  <c r="L421" i="13"/>
  <c r="N422" i="13"/>
  <c r="L422" i="13"/>
  <c r="K382" i="13"/>
  <c r="M382" i="13"/>
  <c r="O382" i="13"/>
  <c r="K383" i="13"/>
  <c r="M383" i="13"/>
  <c r="O383" i="13"/>
  <c r="K384" i="13"/>
  <c r="M384" i="13"/>
  <c r="O384" i="13"/>
  <c r="K385" i="13"/>
  <c r="M385" i="13"/>
  <c r="O385" i="13"/>
  <c r="K386" i="13"/>
  <c r="M386" i="13"/>
  <c r="O386" i="13"/>
  <c r="K387" i="13"/>
  <c r="M387" i="13"/>
  <c r="O387" i="13"/>
  <c r="J388" i="13"/>
  <c r="K388" i="13"/>
  <c r="N328" i="13"/>
  <c r="L328" i="13"/>
  <c r="L343" i="13"/>
  <c r="L358" i="13"/>
  <c r="L373" i="13"/>
  <c r="L388" i="13"/>
  <c r="M388" i="13"/>
  <c r="N388" i="13"/>
  <c r="O388" i="13"/>
  <c r="J389" i="13"/>
  <c r="K389" i="13"/>
  <c r="N329" i="13"/>
  <c r="L329" i="13"/>
  <c r="L344" i="13"/>
  <c r="L359" i="13"/>
  <c r="L374" i="13"/>
  <c r="L389" i="13"/>
  <c r="M389" i="13"/>
  <c r="N389" i="13"/>
  <c r="O389" i="13"/>
  <c r="K390" i="13"/>
  <c r="M390" i="13"/>
  <c r="O390" i="13"/>
  <c r="K391" i="13"/>
  <c r="M391" i="13"/>
  <c r="O391" i="13"/>
  <c r="J392" i="13"/>
  <c r="K392" i="13"/>
  <c r="L332" i="13"/>
  <c r="N347" i="13"/>
  <c r="L347" i="13"/>
  <c r="L362" i="13"/>
  <c r="L377" i="13"/>
  <c r="L392" i="13"/>
  <c r="M392" i="13"/>
  <c r="N392" i="13"/>
  <c r="O392" i="13"/>
  <c r="K394" i="13"/>
  <c r="M394" i="13"/>
  <c r="O394" i="13"/>
  <c r="K395" i="13"/>
  <c r="M395" i="13"/>
  <c r="O395" i="13"/>
  <c r="O381" i="13"/>
  <c r="M381" i="13"/>
  <c r="K381" i="13"/>
  <c r="L410" i="13"/>
  <c r="N284" i="13"/>
  <c r="N285" i="13"/>
  <c r="N286" i="13"/>
  <c r="N288" i="13"/>
  <c r="N289" i="13"/>
  <c r="N290" i="13"/>
  <c r="N291" i="13"/>
  <c r="N293" i="13"/>
  <c r="N294" i="13"/>
  <c r="N295" i="13"/>
  <c r="N297" i="13"/>
  <c r="N268" i="13"/>
  <c r="N269" i="13"/>
  <c r="N270" i="13"/>
  <c r="N271" i="13"/>
  <c r="N272" i="13"/>
  <c r="N276" i="13"/>
  <c r="N277" i="13"/>
  <c r="N282" i="13"/>
  <c r="N254" i="13"/>
  <c r="L254" i="13"/>
  <c r="N256" i="13"/>
  <c r="L256" i="13"/>
  <c r="N257" i="13"/>
  <c r="L257" i="13"/>
  <c r="N262" i="13"/>
  <c r="L262" i="13"/>
  <c r="N253" i="13"/>
  <c r="L253" i="13"/>
  <c r="N241" i="13"/>
  <c r="N242" i="13"/>
  <c r="N243" i="13"/>
  <c r="N244" i="13"/>
  <c r="N248" i="13"/>
  <c r="N180" i="13"/>
  <c r="N181" i="13"/>
  <c r="N182" i="13"/>
  <c r="N183" i="13"/>
  <c r="N184" i="13"/>
  <c r="N36" i="13"/>
  <c r="L36" i="13"/>
  <c r="N37" i="13"/>
  <c r="L37" i="13"/>
  <c r="K42" i="14"/>
  <c r="J42" i="14"/>
  <c r="J47" i="14"/>
  <c r="L15" i="14"/>
  <c r="L41" i="14"/>
  <c r="N22" i="14"/>
  <c r="O29" i="14"/>
  <c r="O22" i="14"/>
  <c r="M22" i="14"/>
  <c r="L22" i="14"/>
  <c r="K22" i="14"/>
  <c r="J22" i="14"/>
  <c r="O15" i="14"/>
  <c r="M15" i="14"/>
  <c r="K15" i="14"/>
</calcChain>
</file>

<file path=xl/comments1.xml><?xml version="1.0" encoding="utf-8"?>
<comments xmlns="http://schemas.openxmlformats.org/spreadsheetml/2006/main">
  <authors>
    <author>thijs  van leeuwen</author>
  </authors>
  <commentList>
    <comment ref="L393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Eric Kasischke, personal communication</t>
        </r>
      </text>
    </comment>
    <comment ref="L401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ground layer &amp; pre-crown fuel ratio of 50:50</t>
        </r>
      </text>
    </comment>
    <comment ref="N401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ground layer &amp; pre-crown fuel ratio of 50:50</t>
        </r>
      </text>
    </comment>
  </commentList>
</comments>
</file>

<file path=xl/comments2.xml><?xml version="1.0" encoding="utf-8"?>
<comments xmlns="http://schemas.openxmlformats.org/spreadsheetml/2006/main">
  <authors>
    <author>thijs  van leeuwen</author>
  </authors>
  <commentList>
    <comment ref="J58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an FL of 28 for Lara et al. based on a CC of 70%</t>
        </r>
      </text>
    </comment>
    <comment ref="J59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FL of 23 for Lara et al., based on aa CC of 88%</t>
        </r>
      </text>
    </comment>
  </commentList>
</comments>
</file>

<file path=xl/comments3.xml><?xml version="1.0" encoding="utf-8"?>
<comments xmlns="http://schemas.openxmlformats.org/spreadsheetml/2006/main">
  <authors>
    <author>thijs  van leeuwen</author>
  </authors>
  <commentList>
    <comment ref="I23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FL of 45 for Cofer III</t>
        </r>
      </text>
    </comment>
    <comment ref="I24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FL of 59,33 for Cofer III, based on a CC of 75.8</t>
        </r>
      </text>
    </comment>
  </commentList>
</comments>
</file>

<file path=xl/comments4.xml><?xml version="1.0" encoding="utf-8"?>
<comments xmlns="http://schemas.openxmlformats.org/spreadsheetml/2006/main">
  <authors>
    <author>thijs  van leeuwen</author>
  </authors>
  <commentList>
    <comment ref="I41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Based on data from Usup et al. (2004)</t>
        </r>
      </text>
    </comment>
    <comment ref="I42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that FL equaled  the FC for Page et al. ( 2002) and Ballhorn et al. (2009). FL is therefore very conservative!</t>
        </r>
      </text>
    </comment>
    <comment ref="I43" authorId="0">
      <text>
        <r>
          <rPr>
            <b/>
            <sz val="9"/>
            <color indexed="81"/>
            <rFont val="Verdana"/>
          </rPr>
          <t>thijs  van leeuwen:</t>
        </r>
        <r>
          <rPr>
            <sz val="9"/>
            <color indexed="81"/>
            <rFont val="Verdana"/>
          </rPr>
          <t xml:space="preserve">
Assuming a CC of 27.2% for the study of Page et al. (2002) and Ballhorn et al. (2009).</t>
        </r>
      </text>
    </comment>
  </commentList>
</comments>
</file>

<file path=xl/sharedStrings.xml><?xml version="1.0" encoding="utf-8"?>
<sst xmlns="http://schemas.openxmlformats.org/spreadsheetml/2006/main" count="18224" uniqueCount="2179">
  <si>
    <t>Potential fuels (pine saplings, palms, shrubs, ground layer)</t>
    <phoneticPr fontId="17" type="noConversion"/>
  </si>
  <si>
    <t>Potential fuels (pine saplings, palms, shrubs, ground layer)</t>
    <phoneticPr fontId="17" type="noConversion"/>
  </si>
  <si>
    <t>Total Brazil</t>
    <phoneticPr fontId="17" type="noConversion"/>
  </si>
  <si>
    <t>Total Mexico</t>
    <phoneticPr fontId="17" type="noConversion"/>
  </si>
  <si>
    <t>Total Zambia</t>
    <phoneticPr fontId="17" type="noConversion"/>
  </si>
  <si>
    <t>Total India</t>
    <phoneticPr fontId="17" type="noConversion"/>
  </si>
  <si>
    <t>FUEL CLASS</t>
    <phoneticPr fontId="17" type="noConversion"/>
  </si>
  <si>
    <t>Fuel Class</t>
    <phoneticPr fontId="17" type="noConversion"/>
  </si>
  <si>
    <t>Type</t>
    <phoneticPr fontId="17" type="noConversion"/>
  </si>
  <si>
    <t>ZambiaSite07</t>
  </si>
  <si>
    <t>14.95S</t>
    <phoneticPr fontId="17" type="noConversion"/>
  </si>
  <si>
    <t>24.83E</t>
    <phoneticPr fontId="17" type="noConversion"/>
  </si>
  <si>
    <t>ZambiaSite08</t>
  </si>
  <si>
    <t>16.3S</t>
    <phoneticPr fontId="17" type="noConversion"/>
  </si>
  <si>
    <t>25.98E</t>
    <phoneticPr fontId="17" type="noConversion"/>
  </si>
  <si>
    <t>ZambiaSite09</t>
  </si>
  <si>
    <t>16.42S</t>
    <phoneticPr fontId="17" type="noConversion"/>
  </si>
  <si>
    <t>26E</t>
    <phoneticPr fontId="17" type="noConversion"/>
  </si>
  <si>
    <t>Spinifex (CQ desert)</t>
  </si>
  <si>
    <t>Georgina gidgee</t>
  </si>
  <si>
    <t>Aristida–Eragrostis (cypress pine)</t>
  </si>
  <si>
    <t>Fine fuels</t>
    <phoneticPr fontId="17" type="noConversion"/>
  </si>
  <si>
    <t>Fine fuels</t>
    <phoneticPr fontId="17" type="noConversion"/>
  </si>
  <si>
    <t>Coarse fuels</t>
    <phoneticPr fontId="17" type="noConversion"/>
  </si>
  <si>
    <t>Heavy fuels</t>
    <phoneticPr fontId="17" type="noConversion"/>
  </si>
  <si>
    <t>Shrub fuels</t>
    <phoneticPr fontId="17" type="noConversion"/>
  </si>
  <si>
    <t>Total</t>
    <phoneticPr fontId="17" type="noConversion"/>
  </si>
  <si>
    <t>Tussock grass open woodland</t>
    <phoneticPr fontId="17" type="noConversion"/>
  </si>
  <si>
    <t>TU</t>
    <phoneticPr fontId="17" type="noConversion"/>
  </si>
  <si>
    <t>All Measurements</t>
    <phoneticPr fontId="17" type="noConversion"/>
  </si>
  <si>
    <t>7-10</t>
    <phoneticPr fontId="17" type="noConversion"/>
  </si>
  <si>
    <t>Evergreen+Dry</t>
    <phoneticPr fontId="17" type="noConversion"/>
  </si>
  <si>
    <t>Ottmar and Sandberg, 2010: Predicting forest floor consumption from wildland fire in boreal forests of alaska - preliminary results</t>
    <phoneticPr fontId="17" type="noConversion"/>
  </si>
  <si>
    <t>34.80N</t>
    <phoneticPr fontId="17" type="noConversion"/>
  </si>
  <si>
    <t>Solar village, Darwin region</t>
  </si>
  <si>
    <t>-</t>
    <phoneticPr fontId="17" type="noConversion"/>
  </si>
  <si>
    <t>Total</t>
    <phoneticPr fontId="17" type="noConversion"/>
  </si>
  <si>
    <t>Tropical dry forest: Dry Forest: Ecotone Monsoon forest</t>
    <phoneticPr fontId="17" type="noConversion"/>
  </si>
  <si>
    <t>Tropical dry forest: Euc Open Forest</t>
    <phoneticPr fontId="17" type="noConversion"/>
  </si>
  <si>
    <t>Rossiter-Rachor et al., 2007: Andropogon gayanus (Gamba Grass) Invasion Increases Fire-mediated nitrogen losses in the tropical savannas of northern Australia</t>
    <phoneticPr fontId="17" type="noConversion"/>
  </si>
  <si>
    <t>Rossiter-Rachor et al. 2007</t>
    <phoneticPr fontId="17" type="noConversion"/>
  </si>
  <si>
    <t>Shea et al., 1996: Fuel biomass and combustion factors associated with fires in savanna ecosystems of South Africa and Zambia/Ward et al., 1996: Effect of fuel composition on combustion efficiency and emission factors from African savanna ecosystem</t>
    <phoneticPr fontId="17" type="noConversion"/>
  </si>
  <si>
    <t>-</t>
    <phoneticPr fontId="17" type="noConversion"/>
  </si>
  <si>
    <t>Astrebla</t>
  </si>
  <si>
    <t>Natural stands of Pinus elliottii and Pinus palustris, Not burned for 1-2 years. Hough et al., 1981</t>
    <phoneticPr fontId="17" type="noConversion"/>
  </si>
  <si>
    <t>Forest floor biomass of 50-60 year old loblolly pine stand. Schoch and Binkley, 1986</t>
    <phoneticPr fontId="17" type="noConversion"/>
  </si>
  <si>
    <t>Natural stands of Pinus elliottii and Pinus palustris, Not burned for 5 years. Hough et al., 1981</t>
    <phoneticPr fontId="17" type="noConversion"/>
  </si>
  <si>
    <t xml:space="preserve">Total woody debris </t>
    <phoneticPr fontId="17" type="noConversion"/>
  </si>
  <si>
    <t>Carter et al., 2003: Prescribed burning and productivity in southern pine forests: a review</t>
    <phoneticPr fontId="17" type="noConversion"/>
  </si>
  <si>
    <t>Average</t>
    <phoneticPr fontId="17" type="noConversion"/>
  </si>
  <si>
    <t>Total Biome</t>
    <phoneticPr fontId="17" type="noConversion"/>
  </si>
  <si>
    <t>Biome average</t>
    <phoneticPr fontId="17" type="noConversion"/>
  </si>
  <si>
    <t>Sugarcane Brazil</t>
    <phoneticPr fontId="17" type="noConversion"/>
  </si>
  <si>
    <t>Pine-dominated Forest</t>
    <phoneticPr fontId="17" type="noConversion"/>
  </si>
  <si>
    <t>Live (grasses, forbs, hardwood leaves, and stems &lt;0.6cm) &amp; dead (1hr and 10hr timelag only) fuels)</t>
    <phoneticPr fontId="17" type="noConversion"/>
  </si>
  <si>
    <t>Live (grasses, forbs, hardwood leaves, and stems &lt;0.6cm) &amp; dead (1hr and 10hr timelag only) fuels)</t>
    <phoneticPr fontId="17" type="noConversion"/>
  </si>
  <si>
    <t>Three annual burns in Pinus taeda plantation beginning at age 40 year, Van Laer et al., 1990</t>
    <phoneticPr fontId="17" type="noConversion"/>
  </si>
  <si>
    <t>-</t>
    <phoneticPr fontId="17" type="noConversion"/>
  </si>
  <si>
    <t>-</t>
    <phoneticPr fontId="17" type="noConversion"/>
  </si>
  <si>
    <t>Forest floor?</t>
    <phoneticPr fontId="17" type="noConversion"/>
  </si>
  <si>
    <t>Record already included in Stocks et al., 2004</t>
    <phoneticPr fontId="17" type="noConversion"/>
  </si>
  <si>
    <t>Experimental fire, represent forest floor data for Stocks et al., 1987b</t>
    <phoneticPr fontId="17" type="noConversion"/>
  </si>
  <si>
    <t>Experimental fire, represent forest floor data for Stocks et al., 1989</t>
    <phoneticPr fontId="17" type="noConversion"/>
  </si>
  <si>
    <t>Experimental fire, represent forest floor data for Stocks et al., 2004</t>
    <phoneticPr fontId="17" type="noConversion"/>
  </si>
  <si>
    <t>149.17W</t>
    <phoneticPr fontId="17" type="noConversion"/>
  </si>
  <si>
    <t>Ground fuels</t>
    <phoneticPr fontId="17" type="noConversion"/>
  </si>
  <si>
    <t>Ground fuels</t>
    <phoneticPr fontId="17" type="noConversion"/>
  </si>
  <si>
    <t>Ground fuels, Permafrost</t>
    <phoneticPr fontId="17" type="noConversion"/>
  </si>
  <si>
    <t>SouthAfricaSITE14</t>
  </si>
  <si>
    <t>SouthAfricaSITE15</t>
  </si>
  <si>
    <t>SouthAfricaSITE17</t>
  </si>
  <si>
    <t>SouthAfricaSITE18</t>
  </si>
  <si>
    <t>SouthAfricaSITE20</t>
  </si>
  <si>
    <t>ZambiaSite01</t>
  </si>
  <si>
    <t>ZambiaSite02</t>
  </si>
  <si>
    <t>ZambiaSite03</t>
  </si>
  <si>
    <t>ZambiaSite05</t>
  </si>
  <si>
    <t>14.45S</t>
    <phoneticPr fontId="17" type="noConversion"/>
  </si>
  <si>
    <t>24.97E</t>
    <phoneticPr fontId="17" type="noConversion"/>
  </si>
  <si>
    <t>15.85S</t>
    <phoneticPr fontId="17" type="noConversion"/>
  </si>
  <si>
    <t>23.37E</t>
    <phoneticPr fontId="17" type="noConversion"/>
  </si>
  <si>
    <t>Meyer et al., 2012: Direct measurements of the seasonality of emission factors from savanna fires in northern Australia</t>
    <phoneticPr fontId="17" type="noConversion"/>
  </si>
  <si>
    <t>12.38S</t>
    <phoneticPr fontId="17" type="noConversion"/>
  </si>
  <si>
    <t>Total of Live (grasses, forbs, hardwood leaves, and stems &lt;0.6cm) &amp; dead (1hr and 10hr timelag only) fuels)</t>
    <phoneticPr fontId="17" type="noConversion"/>
  </si>
  <si>
    <t>Total Australia&amp;Tasmania</t>
    <phoneticPr fontId="17" type="noConversion"/>
  </si>
  <si>
    <t>Conifer Forest</t>
    <phoneticPr fontId="17" type="noConversion"/>
  </si>
  <si>
    <t>Eucalypt Forest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</si>
  <si>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</si>
  <si>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</si>
  <si>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</si>
  <si>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BP</t>
    <phoneticPr fontId="17" type="noConversion"/>
  </si>
  <si>
    <t>Tropical dry forest: Dry Forest</t>
    <phoneticPr fontId="17" type="noConversion"/>
  </si>
  <si>
    <t>Tropical dry forest: Dry thicket</t>
    <phoneticPr fontId="17" type="noConversion"/>
  </si>
  <si>
    <t>Hymenachne (on floodplain)</t>
  </si>
  <si>
    <t>-</t>
    <phoneticPr fontId="17" type="noConversion"/>
  </si>
  <si>
    <t>-</t>
    <phoneticPr fontId="17" type="noConversion"/>
  </si>
  <si>
    <t>Lowland Amazonian dense forest</t>
    <phoneticPr fontId="17" type="noConversion"/>
  </si>
  <si>
    <t>Woody debris (&gt;20.5cm), total</t>
    <phoneticPr fontId="17" type="noConversion"/>
  </si>
  <si>
    <t>Total wood</t>
    <phoneticPr fontId="17" type="noConversion"/>
  </si>
  <si>
    <t>Usup et al., 2004: Combustion and thermal characteristics of peat fire in tropical peatland in Cnetral Kalimantan, Indonesia. Tropics Vol 14 (1)</t>
    <phoneticPr fontId="17" type="noConversion"/>
  </si>
  <si>
    <t>Dry Deciduous Forest</t>
  </si>
  <si>
    <t>wet miombo</t>
  </si>
  <si>
    <t>Tropical dry forest</t>
    <phoneticPr fontId="17" type="noConversion"/>
  </si>
  <si>
    <t>Primary forest</t>
    <phoneticPr fontId="17" type="noConversion"/>
  </si>
  <si>
    <t>Second &amp; Third growth forest</t>
    <phoneticPr fontId="17" type="noConversion"/>
  </si>
  <si>
    <t xml:space="preserve">Evergreen </t>
    <phoneticPr fontId="17" type="noConversion"/>
  </si>
  <si>
    <t xml:space="preserve">Dry </t>
    <phoneticPr fontId="17" type="noConversion"/>
  </si>
  <si>
    <t>-</t>
    <phoneticPr fontId="17" type="noConversion"/>
  </si>
  <si>
    <t>-</t>
    <phoneticPr fontId="17" type="noConversion"/>
  </si>
  <si>
    <t>82.60W</t>
    <phoneticPr fontId="17" type="noConversion"/>
  </si>
  <si>
    <t>South East Piedmont, USA</t>
    <phoneticPr fontId="17" type="noConversion"/>
  </si>
  <si>
    <t>North America</t>
    <phoneticPr fontId="17" type="noConversion"/>
  </si>
  <si>
    <t>Brigalow (northern)</t>
  </si>
  <si>
    <t>Mitchell grass (stony downs)</t>
  </si>
  <si>
    <t>Aristida–Eragrostis (southern sandy)</t>
  </si>
  <si>
    <t>Bothriochloa–Chloris (central)</t>
  </si>
  <si>
    <t>Channel pastures</t>
  </si>
  <si>
    <t>Rootmat</t>
    <phoneticPr fontId="17" type="noConversion"/>
  </si>
  <si>
    <t>Total forest floor</t>
    <phoneticPr fontId="17" type="noConversion"/>
  </si>
  <si>
    <t>Dicots</t>
    <phoneticPr fontId="17" type="noConversion"/>
  </si>
  <si>
    <t>Seasonal semi-deciduous forest</t>
    <phoneticPr fontId="17" type="noConversion"/>
  </si>
  <si>
    <t>Aboveground biomass</t>
    <phoneticPr fontId="17" type="noConversion"/>
  </si>
  <si>
    <t>Themeda australis</t>
  </si>
  <si>
    <t>Eucalypt woodland</t>
  </si>
  <si>
    <t>low open woodland</t>
  </si>
  <si>
    <t>Heathland</t>
  </si>
  <si>
    <t>Sandstone Woodland</t>
  </si>
  <si>
    <t>Euc Open Woodland</t>
  </si>
  <si>
    <t>Sandstone Heath</t>
  </si>
  <si>
    <t>*Molasses Grass</t>
  </si>
  <si>
    <t>*Guinea Grass</t>
  </si>
  <si>
    <t>Blady Grass</t>
  </si>
  <si>
    <t>Kangaroo Grass</t>
  </si>
  <si>
    <t>open savanna woodland</t>
  </si>
  <si>
    <t>Woodland</t>
  </si>
  <si>
    <t>-</t>
    <phoneticPr fontId="17" type="noConversion"/>
  </si>
  <si>
    <t>-</t>
    <phoneticPr fontId="17" type="noConversion"/>
  </si>
  <si>
    <t>-</t>
    <phoneticPr fontId="17" type="noConversion"/>
  </si>
  <si>
    <t>SouthAfricaSITE10</t>
  </si>
  <si>
    <t>Eragrostis</t>
  </si>
  <si>
    <t>Capillipedium</t>
  </si>
  <si>
    <t>Hassett et al., 2000</t>
    <phoneticPr fontId="17" type="noConversion"/>
  </si>
  <si>
    <t>Dichanthium</t>
  </si>
  <si>
    <t>Thellungia advena</t>
  </si>
  <si>
    <t>Whiteochloa</t>
  </si>
  <si>
    <t>Aristida</t>
  </si>
  <si>
    <t>Panicum</t>
  </si>
  <si>
    <t>Enteropogon</t>
  </si>
  <si>
    <t>Spinifex (hard on sand dunes)</t>
  </si>
  <si>
    <t>Cenchrus</t>
  </si>
  <si>
    <t xml:space="preserve">Spinifex (Mt Isa highlands) </t>
  </si>
  <si>
    <t>Natural stands of Pinus elliottii and Pinus palustris, Not burned for 8 years. Hough et al., 1981</t>
    <phoneticPr fontId="17" type="noConversion"/>
  </si>
  <si>
    <t>Devil Den, Vose and Swank, 1993</t>
    <phoneticPr fontId="17" type="noConversion"/>
  </si>
  <si>
    <t>Alaska</t>
    <phoneticPr fontId="17" type="noConversion"/>
  </si>
  <si>
    <t>60.52W</t>
  </si>
  <si>
    <t>Chrysopogon fallax</t>
  </si>
  <si>
    <t>Bothriochloa</t>
  </si>
  <si>
    <t>Rossiter et al., 2004</t>
    <phoneticPr fontId="17" type="noConversion"/>
  </si>
  <si>
    <t>Thyridolepis mitchelliana</t>
  </si>
  <si>
    <t>Black spear grass (southern)</t>
  </si>
  <si>
    <t>Total forest floor</t>
    <phoneticPr fontId="17" type="noConversion"/>
  </si>
  <si>
    <t>Dicots</t>
    <phoneticPr fontId="17" type="noConversion"/>
  </si>
  <si>
    <t>Attached foliage</t>
    <phoneticPr fontId="17" type="noConversion"/>
  </si>
  <si>
    <t>Woody debris (0-0.64cm)</t>
    <phoneticPr fontId="17" type="noConversion"/>
  </si>
  <si>
    <t>Sporobolus</t>
  </si>
  <si>
    <t>Zygochloa</t>
  </si>
  <si>
    <t>Bothriochloa–Chloris(south)</t>
  </si>
  <si>
    <t>Queensland blue grass (southern)</t>
  </si>
  <si>
    <t>Litter</t>
    <phoneticPr fontId="17" type="noConversion"/>
  </si>
  <si>
    <t>Rootmat</t>
    <phoneticPr fontId="17" type="noConversion"/>
  </si>
  <si>
    <t>Schizachrium (flooded plains)</t>
  </si>
  <si>
    <t>Dactyloctenium</t>
  </si>
  <si>
    <t>Woody debris (7.7-20.5cm), sound</t>
    <phoneticPr fontId="17" type="noConversion"/>
  </si>
  <si>
    <t>Woody debris (7.7-20.5cm), rotten</t>
    <phoneticPr fontId="17" type="noConversion"/>
  </si>
  <si>
    <t>Woody debris (7.7-20.5cm), total</t>
    <phoneticPr fontId="17" type="noConversion"/>
  </si>
  <si>
    <t>-</t>
    <phoneticPr fontId="17" type="noConversion"/>
  </si>
  <si>
    <t>Forest floor</t>
    <phoneticPr fontId="17" type="noConversion"/>
  </si>
  <si>
    <t>Forest floor</t>
    <phoneticPr fontId="17" type="noConversion"/>
  </si>
  <si>
    <t>Ground fuels, Non-permafrost</t>
    <phoneticPr fontId="17" type="noConversion"/>
  </si>
  <si>
    <t>Total Potential fuels (pine saplings, palms, shrubs, ground layer)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</si>
  <si>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</si>
  <si>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</si>
  <si>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</si>
  <si>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</si>
  <si>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</si>
  <si>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 xml:space="preserve">Dense closed Amazonian lowland forest. </t>
    <phoneticPr fontId="17" type="noConversion"/>
  </si>
  <si>
    <t>-</t>
    <phoneticPr fontId="17" type="noConversion"/>
  </si>
  <si>
    <t xml:space="preserve">Tropical secondary mixed deciduous forests 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</si>
  <si>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</si>
  <si>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</si>
  <si>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</si>
  <si>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</si>
  <si>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24.55E</t>
    <phoneticPr fontId="17" type="noConversion"/>
  </si>
  <si>
    <t>148.05W</t>
    <phoneticPr fontId="17" type="noConversion"/>
  </si>
  <si>
    <t>60.43N</t>
    <phoneticPr fontId="17" type="noConversion"/>
  </si>
  <si>
    <t>north-west Australia</t>
  </si>
  <si>
    <t>Qld</t>
  </si>
  <si>
    <t>Kapalga</t>
  </si>
  <si>
    <t>Howard Springs</t>
  </si>
  <si>
    <t>Gulf Coastal</t>
  </si>
  <si>
    <t>Gulf Plains</t>
  </si>
  <si>
    <t>Gulf Fall and Uplands</t>
  </si>
  <si>
    <t>Nitmiluk NP</t>
  </si>
  <si>
    <t>Brigalow Belt North</t>
  </si>
  <si>
    <t>Central Mackay Coast</t>
  </si>
  <si>
    <t>25.15S</t>
    <phoneticPr fontId="17" type="noConversion"/>
  </si>
  <si>
    <t>31.26E</t>
    <phoneticPr fontId="17" type="noConversion"/>
  </si>
  <si>
    <t>25.14S</t>
    <phoneticPr fontId="17" type="noConversion"/>
  </si>
  <si>
    <t>31.21E</t>
    <phoneticPr fontId="17" type="noConversion"/>
  </si>
  <si>
    <t>25.10S</t>
    <phoneticPr fontId="17" type="noConversion"/>
  </si>
  <si>
    <t>31.38E</t>
    <phoneticPr fontId="17" type="noConversion"/>
  </si>
  <si>
    <t>31.45E</t>
    <phoneticPr fontId="17" type="noConversion"/>
  </si>
  <si>
    <t>Soil</t>
    <phoneticPr fontId="17" type="noConversion"/>
  </si>
  <si>
    <t>Total Surface</t>
    <phoneticPr fontId="17" type="noConversion"/>
  </si>
  <si>
    <t>15.12S</t>
    <phoneticPr fontId="17" type="noConversion"/>
  </si>
  <si>
    <t>23.72E</t>
    <phoneticPr fontId="17" type="noConversion"/>
  </si>
  <si>
    <t>Hummock grass open woodland</t>
    <phoneticPr fontId="17" type="noConversion"/>
  </si>
  <si>
    <t>Coarse fuels</t>
    <phoneticPr fontId="17" type="noConversion"/>
  </si>
  <si>
    <t>Heavy fuels</t>
    <phoneticPr fontId="17" type="noConversion"/>
  </si>
  <si>
    <t>-</t>
    <phoneticPr fontId="17" type="noConversion"/>
  </si>
  <si>
    <t>-</t>
    <phoneticPr fontId="17" type="noConversion"/>
  </si>
  <si>
    <t>Total Surface fuels</t>
    <phoneticPr fontId="17" type="noConversion"/>
  </si>
  <si>
    <t>Total Soil</t>
    <phoneticPr fontId="17" type="noConversion"/>
  </si>
  <si>
    <t>Forest floor: Soil</t>
    <phoneticPr fontId="17" type="noConversion"/>
  </si>
  <si>
    <t>Total</t>
    <phoneticPr fontId="17" type="noConversion"/>
  </si>
  <si>
    <t>McCarty et al., 2011</t>
    <phoneticPr fontId="17" type="noConversion"/>
  </si>
  <si>
    <t>Biome average</t>
    <phoneticPr fontId="17" type="noConversion"/>
  </si>
  <si>
    <t>Total USA</t>
    <phoneticPr fontId="17" type="noConversion"/>
  </si>
  <si>
    <t>Mature black spruce forest, 178 fires. Uniform landscape. Early Season Fires: Integrated average fuel consumption across different topographic positions. Average lat and lon are taken to define location, C content of 50%</t>
    <phoneticPr fontId="17" type="noConversion"/>
  </si>
  <si>
    <t>Woody debris (&gt;20.5cm), sound</t>
    <phoneticPr fontId="17" type="noConversion"/>
  </si>
  <si>
    <t>Woody debris (&gt;20.5cm), rotten</t>
    <phoneticPr fontId="17" type="noConversion"/>
  </si>
  <si>
    <t>SouthAfricaSITE04</t>
  </si>
  <si>
    <t>ZambiaSite04</t>
  </si>
  <si>
    <t>Woody debris (7.7-20.5cm), sound</t>
    <phoneticPr fontId="17" type="noConversion"/>
  </si>
  <si>
    <t>Woody debris (7.7-20.5cm), rotten</t>
    <phoneticPr fontId="17" type="noConversion"/>
  </si>
  <si>
    <t>Total</t>
    <phoneticPr fontId="17" type="noConversion"/>
  </si>
  <si>
    <t>-</t>
    <phoneticPr fontId="17" type="noConversion"/>
  </si>
  <si>
    <t>Woody debris (&gt;20.5cm), total</t>
    <phoneticPr fontId="17" type="noConversion"/>
  </si>
  <si>
    <t>Total wood</t>
    <phoneticPr fontId="17" type="noConversion"/>
  </si>
  <si>
    <t>Open Eucalypt savanna</t>
  </si>
  <si>
    <t>Open Eucalypt savanna</t>
    <phoneticPr fontId="17" type="noConversion"/>
  </si>
  <si>
    <t>Deep Para grass (on floodplain)</t>
    <phoneticPr fontId="17" type="noConversion"/>
  </si>
  <si>
    <t>Mature black spruce forest, 178 fires. Uniform landscape. Late Season Fires: Integrated average fuel consumption across different topographic positions. Average lat and lon are taken to define location, C content of 50%</t>
    <phoneticPr fontId="17" type="noConversion"/>
  </si>
  <si>
    <t>Peat, grass, and litter</t>
    <phoneticPr fontId="17" type="noConversion"/>
  </si>
  <si>
    <t>Blady grass (central)</t>
  </si>
  <si>
    <t>Black spear grass (central)</t>
  </si>
  <si>
    <t>Bothriochloa–Danthonia (traprock)</t>
  </si>
  <si>
    <t>Mitchell grass (ashy downs)</t>
  </si>
  <si>
    <t>Soft and hard mulga on red plains</t>
  </si>
  <si>
    <t>Maireana</t>
  </si>
  <si>
    <t>Gidgee (southern)</t>
  </si>
  <si>
    <t>Mulga whitewood</t>
  </si>
  <si>
    <t>SouthAfricaSITE03</t>
  </si>
  <si>
    <t>-</t>
    <phoneticPr fontId="17" type="noConversion"/>
  </si>
  <si>
    <t>Plectrachne</t>
  </si>
  <si>
    <t>Pennisetum clandestinum</t>
  </si>
  <si>
    <t>Heteropogon</t>
  </si>
  <si>
    <t>Setaria</t>
  </si>
  <si>
    <t>Aristida–Triodia (lancewood)</t>
  </si>
  <si>
    <t>-</t>
    <phoneticPr fontId="17" type="noConversion"/>
  </si>
  <si>
    <t>SouthAfricaSITE11</t>
  </si>
  <si>
    <t>SouthAfricaSITE12</t>
  </si>
  <si>
    <t>South East Piedmont, USA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</si>
  <si>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</si>
  <si>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</si>
  <si>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</si>
  <si>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Jacob West, Vose and Swank, 1993</t>
    <phoneticPr fontId="17" type="noConversion"/>
  </si>
  <si>
    <t>Jacob East, Vose and Swank, 1993</t>
    <phoneticPr fontId="17" type="noConversion"/>
  </si>
  <si>
    <t>-</t>
    <phoneticPr fontId="17" type="noConversion"/>
  </si>
  <si>
    <t>Hyparrhenia rufa</t>
  </si>
  <si>
    <t>Natural stands of Pinus elliottii and Pinus palustris, Not burned for 1 year. Hough et al., 1981</t>
    <phoneticPr fontId="17" type="noConversion"/>
  </si>
  <si>
    <t>133.55E</t>
    <phoneticPr fontId="17" type="noConversion"/>
  </si>
  <si>
    <t>Kulnguki, Arnhem Plateau</t>
    <phoneticPr fontId="17" type="noConversion"/>
  </si>
  <si>
    <t>-</t>
    <phoneticPr fontId="17" type="noConversion"/>
  </si>
  <si>
    <t>Australia</t>
    <phoneticPr fontId="17" type="noConversion"/>
  </si>
  <si>
    <t>Site preparation burn following harvest of 27-year-old plantation of Pinus radiata. Flinn et al., 1979</t>
    <phoneticPr fontId="17" type="noConversion"/>
  </si>
  <si>
    <t>Other chenopods</t>
  </si>
  <si>
    <t>Ballhorn et al., 2009: Derivation of burn scar depths and estimation of carbon emissions with LIDAR in Indonesian peatlands</t>
    <phoneticPr fontId="17" type="noConversion"/>
  </si>
  <si>
    <t>12.01S</t>
    <phoneticPr fontId="17" type="noConversion"/>
  </si>
  <si>
    <t>134.11E</t>
    <phoneticPr fontId="17" type="noConversion"/>
  </si>
  <si>
    <t>12.5S</t>
    <phoneticPr fontId="17" type="noConversion"/>
  </si>
  <si>
    <t>132.3E</t>
    <phoneticPr fontId="17" type="noConversion"/>
  </si>
  <si>
    <t>Eriachne</t>
  </si>
  <si>
    <t>Cane</t>
  </si>
  <si>
    <t>Enneapogon</t>
  </si>
  <si>
    <t>Sehima</t>
  </si>
  <si>
    <t>Native sorghum</t>
  </si>
  <si>
    <t>Rainforest</t>
  </si>
  <si>
    <t>Ribbongrass</t>
  </si>
  <si>
    <t>Aristida–Chrysopogon (tea tree)</t>
  </si>
  <si>
    <t>Bluegrass browntop</t>
  </si>
  <si>
    <t>Atriplex</t>
  </si>
  <si>
    <t>-</t>
    <phoneticPr fontId="17" type="noConversion"/>
  </si>
  <si>
    <t>Territory Wildlife Park</t>
  </si>
  <si>
    <t>Forest floor: Litter and soil</t>
    <phoneticPr fontId="17" type="noConversion"/>
  </si>
  <si>
    <t>grassland</t>
  </si>
  <si>
    <t>mopane woodland</t>
  </si>
  <si>
    <t>dry miombo</t>
  </si>
  <si>
    <t>bushveld</t>
  </si>
  <si>
    <t>woodland</t>
  </si>
  <si>
    <t>Gidgee (far west)</t>
  </si>
  <si>
    <t>Mitchell grass (southern flooded)</t>
  </si>
  <si>
    <t>ZambiaSite06</t>
  </si>
  <si>
    <t>14.9S</t>
    <phoneticPr fontId="17" type="noConversion"/>
  </si>
  <si>
    <t>-</t>
    <phoneticPr fontId="17" type="noConversion"/>
  </si>
  <si>
    <t>North America</t>
    <phoneticPr fontId="17" type="noConversion"/>
  </si>
  <si>
    <t>63.12N</t>
    <phoneticPr fontId="17" type="noConversion"/>
  </si>
  <si>
    <t>143.59W</t>
    <phoneticPr fontId="17" type="noConversion"/>
  </si>
  <si>
    <t>64.45N</t>
    <phoneticPr fontId="17" type="noConversion"/>
  </si>
  <si>
    <t>Wildman Reserve Site 2</t>
  </si>
  <si>
    <t>Rosie Creek, Alaska</t>
    <phoneticPr fontId="17" type="noConversion"/>
  </si>
  <si>
    <t>Schizachrium (hills and plains)</t>
  </si>
  <si>
    <t>16.1S</t>
    <phoneticPr fontId="17" type="noConversion"/>
  </si>
  <si>
    <t>Brigalow (Roma region)</t>
  </si>
  <si>
    <t>Brigalow and belah (southern)</t>
  </si>
  <si>
    <t>Woody debris (7.63-20.5), rotten</t>
    <phoneticPr fontId="17" type="noConversion"/>
  </si>
  <si>
    <t>Wildman Reserve Site 1</t>
  </si>
  <si>
    <t>Wildman Reserve, NT</t>
  </si>
  <si>
    <t>Wildman Reserve Site 3</t>
  </si>
  <si>
    <t>Queensland blue grass (central)</t>
  </si>
  <si>
    <t>12.38S</t>
    <phoneticPr fontId="17" type="noConversion"/>
  </si>
  <si>
    <t>ZambiaSite10</t>
  </si>
  <si>
    <t>25.09S</t>
    <phoneticPr fontId="17" type="noConversion"/>
  </si>
  <si>
    <t>Total</t>
    <phoneticPr fontId="17" type="noConversion"/>
  </si>
  <si>
    <t>Forest floor: understory</t>
    <phoneticPr fontId="17" type="noConversion"/>
  </si>
  <si>
    <t>Fallow Chitemene</t>
    <phoneticPr fontId="17" type="noConversion"/>
  </si>
  <si>
    <t>Dead + down (&lt;7cm)</t>
    <phoneticPr fontId="17" type="noConversion"/>
  </si>
  <si>
    <t>CarboAfricaNwaswitshaka2</t>
  </si>
  <si>
    <t>-</t>
    <phoneticPr fontId="17" type="noConversion"/>
  </si>
  <si>
    <t>-</t>
    <phoneticPr fontId="17" type="noConversion"/>
  </si>
  <si>
    <t>-</t>
    <phoneticPr fontId="17" type="noConversion"/>
  </si>
  <si>
    <t>Mulga on residuals</t>
  </si>
  <si>
    <t>Native grasses (in Open forest/Woodland)</t>
  </si>
  <si>
    <t>Ribbon Blue Grass</t>
  </si>
  <si>
    <t>Arid short grass</t>
  </si>
  <si>
    <t>SA</t>
    <phoneticPr fontId="17" type="noConversion"/>
  </si>
  <si>
    <t>TF</t>
    <phoneticPr fontId="17" type="noConversion"/>
  </si>
  <si>
    <t>TM</t>
    <phoneticPr fontId="17" type="noConversion"/>
  </si>
  <si>
    <t>BF</t>
    <phoneticPr fontId="17" type="noConversion"/>
  </si>
  <si>
    <t>PA</t>
    <phoneticPr fontId="17" type="noConversion"/>
  </si>
  <si>
    <t>CR</t>
    <phoneticPr fontId="17" type="noConversion"/>
  </si>
  <si>
    <t>CH</t>
    <phoneticPr fontId="17" type="noConversion"/>
  </si>
  <si>
    <t>TP</t>
    <phoneticPr fontId="17" type="noConversion"/>
  </si>
  <si>
    <t>Roundwood &gt;7cm</t>
    <phoneticPr fontId="17" type="noConversion"/>
  </si>
  <si>
    <t>-</t>
    <phoneticPr fontId="17" type="noConversion"/>
  </si>
  <si>
    <t>Surface</t>
    <phoneticPr fontId="17" type="noConversion"/>
  </si>
  <si>
    <t>Maningrida, North-central Arnhem Land</t>
  </si>
  <si>
    <t>-</t>
    <phoneticPr fontId="17" type="noConversion"/>
  </si>
  <si>
    <t>Mission grass (in Open forest/Woodland)</t>
  </si>
  <si>
    <t>Tropical dry forest: Wet forest</t>
  </si>
  <si>
    <t>Tropical dry forest: Wet forest</t>
    <phoneticPr fontId="17" type="noConversion"/>
  </si>
  <si>
    <t>Forest floor</t>
    <phoneticPr fontId="17" type="noConversion"/>
  </si>
  <si>
    <t>26.28S</t>
    <phoneticPr fontId="17" type="noConversion"/>
  </si>
  <si>
    <t>28E</t>
    <phoneticPr fontId="17" type="noConversion"/>
  </si>
  <si>
    <t>23.8S</t>
    <phoneticPr fontId="17" type="noConversion"/>
  </si>
  <si>
    <t>149.08E</t>
    <phoneticPr fontId="17" type="noConversion"/>
  </si>
  <si>
    <t>18.30S</t>
    <phoneticPr fontId="17" type="noConversion"/>
  </si>
  <si>
    <t>144.05E</t>
    <phoneticPr fontId="17" type="noConversion"/>
  </si>
  <si>
    <t>SouthAfricaSITE19</t>
  </si>
  <si>
    <t>Woody debris (7.7-20.5cm), total</t>
    <phoneticPr fontId="17" type="noConversion"/>
  </si>
  <si>
    <t>Woody debris (&gt;20.5cm), sound</t>
    <phoneticPr fontId="17" type="noConversion"/>
  </si>
  <si>
    <t>SouthAfricaSITE16</t>
  </si>
  <si>
    <t>Woody debris (&gt;20.5cm), rotten</t>
    <phoneticPr fontId="17" type="noConversion"/>
  </si>
  <si>
    <t>Mozambique Site 02</t>
  </si>
  <si>
    <t>Mozambique Site 03</t>
  </si>
  <si>
    <t>Mozambique Site 04</t>
  </si>
  <si>
    <t>Mozambique Site 08</t>
  </si>
  <si>
    <t>Mozambique Site 09</t>
  </si>
  <si>
    <t>Total</t>
    <phoneticPr fontId="17" type="noConversion"/>
  </si>
  <si>
    <t>Litter</t>
    <phoneticPr fontId="17" type="noConversion"/>
  </si>
  <si>
    <t>63.50N</t>
    <phoneticPr fontId="17" type="noConversion"/>
  </si>
  <si>
    <t>145.15W</t>
    <phoneticPr fontId="17" type="noConversion"/>
  </si>
  <si>
    <t>-</t>
    <phoneticPr fontId="17" type="noConversion"/>
  </si>
  <si>
    <t>-</t>
    <phoneticPr fontId="17" type="noConversion"/>
  </si>
  <si>
    <t>Open forest, woodland</t>
  </si>
  <si>
    <t>Kasischke et al., 2000: Direct effects of fire on the boreal forest carbon budget</t>
    <phoneticPr fontId="17" type="noConversion"/>
  </si>
  <si>
    <t>Unburnt humid savannas</t>
  </si>
  <si>
    <t>Triodia</t>
  </si>
  <si>
    <t>Litter</t>
    <phoneticPr fontId="17" type="noConversion"/>
  </si>
  <si>
    <t>The Grange Farm, Zimbabwe</t>
  </si>
  <si>
    <t>Marondera Grasslands Research Station</t>
  </si>
  <si>
    <t>Thornpark Estate, Zimbabwe</t>
  </si>
  <si>
    <t>Buena Vista Farm, Ruwa</t>
  </si>
  <si>
    <t>Maradze Farm, Raffingora</t>
  </si>
  <si>
    <t>Blue Mountain, Cristonbank, Harare</t>
  </si>
  <si>
    <t>Paddock 98, Central Estates, Mvuma</t>
  </si>
  <si>
    <t>Mungwezi Ranch, Chiredzi</t>
  </si>
  <si>
    <t>SouthAfricaSITE01</t>
  </si>
  <si>
    <t>SouthAfricaSITE02</t>
  </si>
  <si>
    <t>Site preparation following a clear cut in mixed pine hardwoods. Van Lear and Kapeluck, 1989</t>
    <phoneticPr fontId="17" type="noConversion"/>
  </si>
  <si>
    <t>Christian et al., 2007: The tropical forest and fire emissions experiment: trace gases emitted by smoldering logs and dung from deforestation and pasture fires in Brazil / Soares Neto et al., 2009: Biomass consumption and CO2, CO and main hydrocarbon gas emissions in an Amazonian forest clearing fire, Atmospheric Environment, 2009</t>
    <phoneticPr fontId="17" type="noConversion"/>
  </si>
  <si>
    <t>Shallow Para grass (on floodplain)</t>
  </si>
  <si>
    <t>-</t>
    <phoneticPr fontId="17" type="noConversion"/>
  </si>
  <si>
    <t>Litter and branches</t>
    <phoneticPr fontId="17" type="noConversion"/>
  </si>
  <si>
    <t>Bogs</t>
    <phoneticPr fontId="17" type="noConversion"/>
  </si>
  <si>
    <t>Hummocks and Hollows</t>
    <phoneticPr fontId="17" type="noConversion"/>
  </si>
  <si>
    <t>Total Peat</t>
    <phoneticPr fontId="17" type="noConversion"/>
  </si>
  <si>
    <t>Total (aboveground + floor)</t>
    <phoneticPr fontId="17" type="noConversion"/>
  </si>
  <si>
    <t>Total Understory</t>
    <phoneticPr fontId="17" type="noConversion"/>
  </si>
  <si>
    <t>Harden et al., 2004: Chemistry of burning of forest floor during the FORSTFIRE experimental burn, interior Alaska, 1999</t>
    <phoneticPr fontId="17" type="noConversion"/>
  </si>
  <si>
    <t>Mitchell grass (southern downs)</t>
  </si>
  <si>
    <t>-</t>
    <phoneticPr fontId="17" type="noConversion"/>
  </si>
  <si>
    <t>Blady grass (northern)</t>
  </si>
  <si>
    <t>Brachiaria</t>
  </si>
  <si>
    <t>Douglas &amp; O'Conner., 2004</t>
    <phoneticPr fontId="17" type="noConversion"/>
  </si>
  <si>
    <t>12.7S</t>
    <phoneticPr fontId="17" type="noConversion"/>
  </si>
  <si>
    <t>132.9E</t>
    <phoneticPr fontId="17" type="noConversion"/>
  </si>
  <si>
    <t>Douglas et al., 2004</t>
    <phoneticPr fontId="17" type="noConversion"/>
  </si>
  <si>
    <t>13.1S</t>
    <phoneticPr fontId="17" type="noConversion"/>
  </si>
  <si>
    <t>130.6E</t>
    <phoneticPr fontId="17" type="noConversion"/>
  </si>
  <si>
    <t>Dyer, 2001</t>
    <phoneticPr fontId="17" type="noConversion"/>
  </si>
  <si>
    <t>131E</t>
    <phoneticPr fontId="17" type="noConversion"/>
  </si>
  <si>
    <t>Woinarski et al., 2004</t>
    <phoneticPr fontId="17" type="noConversion"/>
  </si>
  <si>
    <t>12.6S</t>
    <phoneticPr fontId="17" type="noConversion"/>
  </si>
  <si>
    <t>Attached foliage</t>
    <phoneticPr fontId="17" type="noConversion"/>
  </si>
  <si>
    <t>Woody debris (0-0.64)</t>
    <phoneticPr fontId="17" type="noConversion"/>
  </si>
  <si>
    <t>Woody debris (0.65-2.54)</t>
    <phoneticPr fontId="17" type="noConversion"/>
  </si>
  <si>
    <t>Sturt Plateau</t>
  </si>
  <si>
    <t>-</t>
    <phoneticPr fontId="17" type="noConversion"/>
  </si>
  <si>
    <t>Cape York Peninsula</t>
  </si>
  <si>
    <t>Palm</t>
    <phoneticPr fontId="17" type="noConversion"/>
  </si>
  <si>
    <t>SouthAfricaSITE13</t>
  </si>
  <si>
    <t>Dead grass</t>
    <phoneticPr fontId="17" type="noConversion"/>
  </si>
  <si>
    <t>Grass</t>
    <phoneticPr fontId="17" type="noConversion"/>
  </si>
  <si>
    <t>Woody debris (0.65-2.54cm)</t>
    <phoneticPr fontId="17" type="noConversion"/>
  </si>
  <si>
    <t>Woody debris (2.55-7.6cm)</t>
    <phoneticPr fontId="17" type="noConversion"/>
  </si>
  <si>
    <t>Crater Lake</t>
  </si>
  <si>
    <t>Central Kimberley</t>
  </si>
  <si>
    <t>Dampierland</t>
  </si>
  <si>
    <t>Northern Kimberley</t>
  </si>
  <si>
    <t>Central Arnhem</t>
  </si>
  <si>
    <t>Blady grass (southern)</t>
  </si>
  <si>
    <t>Chloris</t>
  </si>
  <si>
    <t>Black spear grass (northern)</t>
  </si>
  <si>
    <t>-</t>
    <phoneticPr fontId="17" type="noConversion"/>
  </si>
  <si>
    <t>-</t>
    <phoneticPr fontId="17" type="noConversion"/>
  </si>
  <si>
    <t>-</t>
    <phoneticPr fontId="17" type="noConversion"/>
  </si>
  <si>
    <t>Crown</t>
    <phoneticPr fontId="17" type="noConversion"/>
  </si>
  <si>
    <t>Kakadu</t>
  </si>
  <si>
    <t>Australia</t>
    <phoneticPr fontId="17" type="noConversion"/>
  </si>
  <si>
    <t>Einasleigh Uplands</t>
  </si>
  <si>
    <t>Mitchell Grass Downs</t>
  </si>
  <si>
    <t>Mount Isa Inlier</t>
  </si>
  <si>
    <t>Ord-Victoria Plains</t>
  </si>
  <si>
    <t>CarboAfricaSkukuza</t>
  </si>
  <si>
    <t>CarboAfricaNwaswitshaka</t>
  </si>
  <si>
    <t>CarboAfricaNumbi2</t>
  </si>
  <si>
    <t>VRD</t>
  </si>
  <si>
    <t>Woody debris (0.65-2.54cm)</t>
    <phoneticPr fontId="17" type="noConversion"/>
  </si>
  <si>
    <t>24.02S</t>
    <phoneticPr fontId="17" type="noConversion"/>
  </si>
  <si>
    <t>31.00E</t>
    <phoneticPr fontId="17" type="noConversion"/>
  </si>
  <si>
    <t>26S</t>
    <phoneticPr fontId="17" type="noConversion"/>
  </si>
  <si>
    <t>30.48E</t>
    <phoneticPr fontId="17" type="noConversion"/>
  </si>
  <si>
    <t>24.47S</t>
    <phoneticPr fontId="17" type="noConversion"/>
  </si>
  <si>
    <t>30.8E</t>
    <phoneticPr fontId="17" type="noConversion"/>
  </si>
  <si>
    <t>18.40S</t>
    <phoneticPr fontId="17" type="noConversion"/>
  </si>
  <si>
    <t>124.11E</t>
    <phoneticPr fontId="17" type="noConversion"/>
  </si>
  <si>
    <t>130.52E</t>
    <phoneticPr fontId="17" type="noConversion"/>
  </si>
  <si>
    <t>21.11S</t>
    <phoneticPr fontId="17" type="noConversion"/>
  </si>
  <si>
    <t>Aristida–Thyridolepis (poplar box)</t>
  </si>
  <si>
    <t>Data taken from Turetsky et al., 2011</t>
    <phoneticPr fontId="17" type="noConversion"/>
  </si>
  <si>
    <t>Mozambique Site 05</t>
  </si>
  <si>
    <t>Mozambique Site 06</t>
  </si>
  <si>
    <t>Mozambique Site 07</t>
  </si>
  <si>
    <t>114.12E</t>
  </si>
  <si>
    <t>2.35S</t>
  </si>
  <si>
    <t>114.10E</t>
  </si>
  <si>
    <t>-</t>
    <phoneticPr fontId="17" type="noConversion"/>
  </si>
  <si>
    <t>Woody debris (2.55-7.6cm)</t>
    <phoneticPr fontId="17" type="noConversion"/>
  </si>
  <si>
    <t>8,15</t>
    <phoneticPr fontId="17" type="noConversion"/>
  </si>
  <si>
    <t>North America</t>
    <phoneticPr fontId="17" type="noConversion"/>
  </si>
  <si>
    <t>65.10N</t>
    <phoneticPr fontId="17" type="noConversion"/>
  </si>
  <si>
    <t>147.30W</t>
    <phoneticPr fontId="17" type="noConversion"/>
  </si>
  <si>
    <t>Gidgee (central)</t>
  </si>
  <si>
    <t>Minor vegetation</t>
    <phoneticPr fontId="17" type="noConversion"/>
  </si>
  <si>
    <t>Crown material</t>
    <phoneticPr fontId="17" type="noConversion"/>
  </si>
  <si>
    <t>Total</t>
    <phoneticPr fontId="17" type="noConversion"/>
  </si>
  <si>
    <t>Plot 3, assuming an average of litter and branches burning efficiency</t>
    <phoneticPr fontId="17" type="noConversion"/>
  </si>
  <si>
    <t>117.65W</t>
    <phoneticPr fontId="17" type="noConversion"/>
  </si>
  <si>
    <t>Stocks, 1987a: Fire potential in the spruce budworm-damaged forests of Ontario, Forestry Chronicle, 63(1), 8-14</t>
    <phoneticPr fontId="17" type="noConversion"/>
  </si>
  <si>
    <t>Crown material</t>
    <phoneticPr fontId="17" type="noConversion"/>
  </si>
  <si>
    <t>32.53E</t>
    <phoneticPr fontId="17" type="noConversion"/>
  </si>
  <si>
    <t>32.63E</t>
    <phoneticPr fontId="17" type="noConversion"/>
  </si>
  <si>
    <t>23.77S</t>
    <phoneticPr fontId="17" type="noConversion"/>
  </si>
  <si>
    <t>32.62E</t>
    <phoneticPr fontId="17" type="noConversion"/>
  </si>
  <si>
    <t>Total</t>
    <phoneticPr fontId="17" type="noConversion"/>
  </si>
  <si>
    <t>Forest floor</t>
    <phoneticPr fontId="17" type="noConversion"/>
  </si>
  <si>
    <t>Different depth classes used in calculation (3.4cm)</t>
    <phoneticPr fontId="17" type="noConversion"/>
  </si>
  <si>
    <t>SouthAfricaSITE05</t>
  </si>
  <si>
    <t>SouthAfricaSITE06</t>
  </si>
  <si>
    <t>SouthAfricaSITE08</t>
  </si>
  <si>
    <t>SouthAfricaSITE09</t>
  </si>
  <si>
    <t>132.9E</t>
    <phoneticPr fontId="17" type="noConversion"/>
  </si>
  <si>
    <t>-</t>
    <phoneticPr fontId="17" type="noConversion"/>
  </si>
  <si>
    <t>29.15E</t>
    <phoneticPr fontId="17" type="noConversion"/>
  </si>
  <si>
    <t>Aristida–Cleistochloa (sst hills)</t>
  </si>
  <si>
    <t>-</t>
    <phoneticPr fontId="17" type="noConversion"/>
  </si>
  <si>
    <t>139.25E</t>
    <phoneticPr fontId="17" type="noConversion"/>
  </si>
  <si>
    <t>Mozambique Site 10</t>
  </si>
  <si>
    <t>Wild rice (on floodplain)</t>
  </si>
  <si>
    <t>49.01W</t>
  </si>
  <si>
    <t>15.85S</t>
  </si>
  <si>
    <t>-</t>
    <phoneticPr fontId="17" type="noConversion"/>
  </si>
  <si>
    <t>Rossiter et al., 2003</t>
    <phoneticPr fontId="17" type="noConversion"/>
  </si>
  <si>
    <t>135.17E</t>
    <phoneticPr fontId="17" type="noConversion"/>
  </si>
  <si>
    <t>131.8E</t>
    <phoneticPr fontId="17" type="noConversion"/>
  </si>
  <si>
    <t>Gill et al., 1990</t>
    <phoneticPr fontId="17" type="noConversion"/>
  </si>
  <si>
    <t>17.40S</t>
    <phoneticPr fontId="17" type="noConversion"/>
  </si>
  <si>
    <t>125.11E</t>
    <phoneticPr fontId="17" type="noConversion"/>
  </si>
  <si>
    <t>Themeda</t>
  </si>
  <si>
    <t>12.57S</t>
    <phoneticPr fontId="17" type="noConversion"/>
  </si>
  <si>
    <t>10.42S</t>
    <phoneticPr fontId="17" type="noConversion"/>
  </si>
  <si>
    <t>142.31E</t>
    <phoneticPr fontId="17" type="noConversion"/>
  </si>
  <si>
    <t>16.15S</t>
    <phoneticPr fontId="17" type="noConversion"/>
  </si>
  <si>
    <t>145.25E</t>
    <phoneticPr fontId="17" type="noConversion"/>
  </si>
  <si>
    <t>20.39S</t>
    <phoneticPr fontId="17" type="noConversion"/>
  </si>
  <si>
    <t>13.49S</t>
    <phoneticPr fontId="17" type="noConversion"/>
  </si>
  <si>
    <t>131.50E</t>
    <phoneticPr fontId="17" type="noConversion"/>
  </si>
  <si>
    <t>130.33E</t>
    <phoneticPr fontId="17" type="noConversion"/>
  </si>
  <si>
    <t>Russell-Smith et al., 2004</t>
    <phoneticPr fontId="17" type="noConversion"/>
  </si>
  <si>
    <t>Granite Creek, Alaska</t>
    <phoneticPr fontId="17" type="noConversion"/>
  </si>
  <si>
    <t>Porcupine, Alaska</t>
    <phoneticPr fontId="17" type="noConversion"/>
  </si>
  <si>
    <t>Tok River, Alaska</t>
    <phoneticPr fontId="17" type="noConversion"/>
  </si>
  <si>
    <t>25.53S</t>
    <phoneticPr fontId="17" type="noConversion"/>
  </si>
  <si>
    <t>Kauffman et al., 1995: Fire in the Brazilian Amazon: 1. Biomass, nutrient pools, and losses in slashed primary forests.</t>
    <phoneticPr fontId="17" type="noConversion"/>
  </si>
  <si>
    <t>Nova Jacunda, Para</t>
    <phoneticPr fontId="17" type="noConversion"/>
  </si>
  <si>
    <t>Cleared for crops, and later cattle pasture</t>
    <phoneticPr fontId="17" type="noConversion"/>
  </si>
  <si>
    <t>67.14N</t>
    <phoneticPr fontId="17" type="noConversion"/>
  </si>
  <si>
    <t>Palangka Raya, Kalimantan, Indonesia</t>
    <phoneticPr fontId="17" type="noConversion"/>
  </si>
  <si>
    <t>Cleared for cattle pastures</t>
    <phoneticPr fontId="17" type="noConversion"/>
  </si>
  <si>
    <t>Santa Barbara, Rondonia</t>
    <phoneticPr fontId="17" type="noConversion"/>
  </si>
  <si>
    <t>Cleared for shifting cultivation (rice and manioc)</t>
    <phoneticPr fontId="17" type="noConversion"/>
  </si>
  <si>
    <t>-</t>
    <phoneticPr fontId="17" type="noConversion"/>
  </si>
  <si>
    <t>-</t>
    <phoneticPr fontId="17" type="noConversion"/>
  </si>
  <si>
    <t>131.1E</t>
    <phoneticPr fontId="17" type="noConversion"/>
  </si>
  <si>
    <t>Mitchell grass (northern downs)</t>
  </si>
  <si>
    <t>Forbs</t>
  </si>
  <si>
    <t>Heath</t>
  </si>
  <si>
    <t>Sorghum</t>
  </si>
  <si>
    <t>150.18W</t>
    <phoneticPr fontId="17" type="noConversion"/>
  </si>
  <si>
    <t>63.45N</t>
    <phoneticPr fontId="17" type="noConversion"/>
  </si>
  <si>
    <t>145.12W</t>
    <phoneticPr fontId="17" type="noConversion"/>
  </si>
  <si>
    <t>Dicot seedlings</t>
    <phoneticPr fontId="17" type="noConversion"/>
  </si>
  <si>
    <t>Rootmat</t>
    <phoneticPr fontId="17" type="noConversion"/>
  </si>
  <si>
    <t>Litter</t>
    <phoneticPr fontId="17" type="noConversion"/>
  </si>
  <si>
    <t>Boreal Spruce</t>
  </si>
  <si>
    <t>Duff</t>
    <phoneticPr fontId="17" type="noConversion"/>
  </si>
  <si>
    <t>de Groot et al., 2007: Estimating direct carbon emissions from Canadian wildland fires, International journal of wildland fires</t>
    <phoneticPr fontId="17" type="noConversion"/>
  </si>
  <si>
    <t>Montreal Lake, Saskatchewan, Canada</t>
    <phoneticPr fontId="17" type="noConversion"/>
  </si>
  <si>
    <t>Hughes et al., 2000: Ecosystem-scale impacts of deforestation and land use in a humid tropical region of Mexico.</t>
    <phoneticPr fontId="17" type="noConversion"/>
  </si>
  <si>
    <t>18.35N</t>
    <phoneticPr fontId="17" type="noConversion"/>
  </si>
  <si>
    <t>95.05W</t>
    <phoneticPr fontId="17" type="noConversion"/>
  </si>
  <si>
    <t>Los Tuxtlas, Mexico</t>
    <phoneticPr fontId="17" type="noConversion"/>
  </si>
  <si>
    <t>1980's</t>
    <phoneticPr fontId="17" type="noConversion"/>
  </si>
  <si>
    <t>Central America</t>
  </si>
  <si>
    <t>-</t>
    <phoneticPr fontId="17" type="noConversion"/>
  </si>
  <si>
    <t>Total</t>
    <phoneticPr fontId="17" type="noConversion"/>
  </si>
  <si>
    <t>Woody debris (2.55-7.62)</t>
    <phoneticPr fontId="17" type="noConversion"/>
  </si>
  <si>
    <t>Woody debris (&gt;20.5), sound</t>
    <phoneticPr fontId="17" type="noConversion"/>
  </si>
  <si>
    <t>Woody debris (&gt;20.5), rotten</t>
    <phoneticPr fontId="17" type="noConversion"/>
  </si>
  <si>
    <t>24.37S</t>
    <phoneticPr fontId="17" type="noConversion"/>
  </si>
  <si>
    <t>24.55S</t>
    <phoneticPr fontId="17" type="noConversion"/>
  </si>
  <si>
    <t>31.1E</t>
    <phoneticPr fontId="17" type="noConversion"/>
  </si>
  <si>
    <t>Victoria Bonaparte</t>
  </si>
  <si>
    <t>25.11S</t>
    <phoneticPr fontId="17" type="noConversion"/>
  </si>
  <si>
    <t>31.41E</t>
    <phoneticPr fontId="17" type="noConversion"/>
  </si>
  <si>
    <t>CarboAfricaNapi</t>
  </si>
  <si>
    <t>25.12S</t>
    <phoneticPr fontId="17" type="noConversion"/>
  </si>
  <si>
    <t>Litchfield NP</t>
  </si>
  <si>
    <t>Aristida–Chrysopogon (W. Einasleigh)</t>
  </si>
  <si>
    <t>Total</t>
    <phoneticPr fontId="17" type="noConversion"/>
  </si>
  <si>
    <t>Ground layer</t>
    <phoneticPr fontId="17" type="noConversion"/>
  </si>
  <si>
    <t>Pre-crown fuels</t>
    <phoneticPr fontId="17" type="noConversion"/>
  </si>
  <si>
    <t>CarboAfricaKabeni</t>
  </si>
  <si>
    <t>15.83S</t>
    <phoneticPr fontId="17" type="noConversion"/>
  </si>
  <si>
    <t>-</t>
    <phoneticPr fontId="17" type="noConversion"/>
  </si>
  <si>
    <t>29.93E</t>
    <phoneticPr fontId="17" type="noConversion"/>
  </si>
  <si>
    <t>22.38S</t>
    <phoneticPr fontId="17" type="noConversion"/>
  </si>
  <si>
    <t>30.07E</t>
    <phoneticPr fontId="17" type="noConversion"/>
  </si>
  <si>
    <t>23.12S</t>
    <phoneticPr fontId="17" type="noConversion"/>
  </si>
  <si>
    <t>16.45S</t>
    <phoneticPr fontId="17" type="noConversion"/>
  </si>
  <si>
    <t>23.2E</t>
    <phoneticPr fontId="17" type="noConversion"/>
  </si>
  <si>
    <t>Mix (wheat-rice-legume-corn-potato-oil plant-cotton), burned in 2002, total 4523km2</t>
    <phoneticPr fontId="17" type="noConversion"/>
  </si>
  <si>
    <t>Pigeonhole VRD</t>
  </si>
  <si>
    <t>Monocather</t>
  </si>
  <si>
    <t>Woody debris (0-0.64cm)</t>
    <phoneticPr fontId="17" type="noConversion"/>
  </si>
  <si>
    <t>Rose unpublished, personal. Comm.</t>
    <phoneticPr fontId="17" type="noConversion"/>
  </si>
  <si>
    <t>12.30S</t>
    <phoneticPr fontId="17" type="noConversion"/>
  </si>
  <si>
    <t>131.02E</t>
    <phoneticPr fontId="17" type="noConversion"/>
  </si>
  <si>
    <t>Russell-Smith et al., 1998</t>
    <phoneticPr fontId="17" type="noConversion"/>
  </si>
  <si>
    <t>Russell-Smith et al., 2003</t>
    <phoneticPr fontId="17" type="noConversion"/>
  </si>
  <si>
    <t>Ottmar and Sandberg, 2010: Predicting forest floor consumption from wildland fire in boreal forests of alaska - preliminary results</t>
    <phoneticPr fontId="17" type="noConversion"/>
  </si>
  <si>
    <t>Soldotna</t>
  </si>
  <si>
    <t>Mystery Creek 2</t>
    <phoneticPr fontId="17" type="noConversion"/>
  </si>
  <si>
    <t>Small woody fuels</t>
    <phoneticPr fontId="17" type="noConversion"/>
  </si>
  <si>
    <t>Mystery Creek 3</t>
    <phoneticPr fontId="17" type="noConversion"/>
  </si>
  <si>
    <t>Imm Pine</t>
  </si>
  <si>
    <t>Deciduous</t>
  </si>
  <si>
    <t>2.37S</t>
  </si>
  <si>
    <t>2.41S</t>
  </si>
  <si>
    <t>114.17E</t>
  </si>
  <si>
    <t>2.50S</t>
  </si>
  <si>
    <t>2.70S</t>
  </si>
  <si>
    <t>114.32E</t>
  </si>
  <si>
    <t>2.75S</t>
  </si>
  <si>
    <t>Bogs</t>
    <phoneticPr fontId="17" type="noConversion"/>
  </si>
  <si>
    <t>Bogs</t>
    <phoneticPr fontId="17" type="noConversion"/>
  </si>
  <si>
    <t>SouthAfricaSITE07</t>
  </si>
  <si>
    <t>31.03E</t>
    <phoneticPr fontId="17" type="noConversion"/>
  </si>
  <si>
    <t>Mozambique Site 01</t>
    <phoneticPr fontId="17" type="noConversion"/>
  </si>
  <si>
    <t>NorthWestern Territories, Canada, 40 km NE of Fort Providence</t>
    <phoneticPr fontId="17" type="noConversion"/>
  </si>
  <si>
    <t>6,7</t>
    <phoneticPr fontId="17" type="noConversion"/>
  </si>
  <si>
    <t>Black spruce forest/shrub/bog: Data from S. Drury, manuscript in preparation, 2000)</t>
    <phoneticPr fontId="17" type="noConversion"/>
  </si>
  <si>
    <t>Dead + down (&lt;7cm)</t>
    <phoneticPr fontId="17" type="noConversion"/>
  </si>
  <si>
    <t>Roundwood &gt;7cm</t>
    <phoneticPr fontId="17" type="noConversion"/>
  </si>
  <si>
    <t>Minor vegetation</t>
    <phoneticPr fontId="17" type="noConversion"/>
  </si>
  <si>
    <t>23.87S</t>
    <phoneticPr fontId="17" type="noConversion"/>
  </si>
  <si>
    <t>28.31E</t>
    <phoneticPr fontId="17" type="noConversion"/>
  </si>
  <si>
    <t>113.79E</t>
  </si>
  <si>
    <t>Central Kalimantan</t>
  </si>
  <si>
    <t>&gt;1997</t>
    <phoneticPr fontId="17" type="noConversion"/>
  </si>
  <si>
    <t>-</t>
    <phoneticPr fontId="17" type="noConversion"/>
  </si>
  <si>
    <t>26.32S</t>
    <phoneticPr fontId="17" type="noConversion"/>
  </si>
  <si>
    <t>148.01E</t>
    <phoneticPr fontId="17" type="noConversion"/>
  </si>
  <si>
    <t>20.40S</t>
    <phoneticPr fontId="17" type="noConversion"/>
  </si>
  <si>
    <t>Zarate et al., 2005: Pollution by cereal waste burning in Spain</t>
    <phoneticPr fontId="17" type="noConversion"/>
  </si>
  <si>
    <t>Spain</t>
    <phoneticPr fontId="17" type="noConversion"/>
  </si>
  <si>
    <t>15.48S</t>
    <phoneticPr fontId="17" type="noConversion"/>
  </si>
  <si>
    <t>128.45E</t>
    <phoneticPr fontId="17" type="noConversion"/>
  </si>
  <si>
    <t>15.31S</t>
    <phoneticPr fontId="17" type="noConversion"/>
  </si>
  <si>
    <t>Hunt unpublished, personal communication</t>
    <phoneticPr fontId="17" type="noConversion"/>
  </si>
  <si>
    <t>17S</t>
    <phoneticPr fontId="17" type="noConversion"/>
  </si>
  <si>
    <t>Ward et al., 1992: Smoke and fire characteristics for cerrado and deforestation burns in Brazil: BASE-B experiment, Journal of geophysical research, 97, D13, 14601-14619./Kauffman et al., 1994: Relationships of fire, biomass, and nutrients dynamics along a vegetation gradient in the Brazilian Cerrado, Jounral of Ecology, 82, 3, 519-531.</t>
    <phoneticPr fontId="17" type="noConversion"/>
  </si>
  <si>
    <t>4.50S</t>
  </si>
  <si>
    <t>116.42E</t>
    <phoneticPr fontId="17" type="noConversion"/>
  </si>
  <si>
    <t>Dry Creek, Alaska</t>
    <phoneticPr fontId="17" type="noConversion"/>
  </si>
  <si>
    <t>Tetlin, Alaska</t>
    <phoneticPr fontId="17" type="noConversion"/>
  </si>
  <si>
    <t>Hajdukovich Creek, Alaska</t>
    <phoneticPr fontId="17" type="noConversion"/>
  </si>
  <si>
    <t>Usup et al., 2004: Combustion and thermal characteristics of peat fire in tropical peatland in Cnetral Kalimantan, Indonesia. Tropics Vol 14 (1)</t>
    <phoneticPr fontId="17" type="noConversion"/>
  </si>
  <si>
    <t>2.30S</t>
  </si>
  <si>
    <t>114.03E</t>
  </si>
  <si>
    <t>Stocks et al., 2004: Crown fire behaviour in a northern jack pine - black spruce forest, Canadian journal of forest research</t>
    <phoneticPr fontId="17" type="noConversion"/>
  </si>
  <si>
    <t>61.60N</t>
  </si>
  <si>
    <t>117.20W</t>
  </si>
  <si>
    <t>Fort Providence, Canada</t>
    <phoneticPr fontId="17" type="noConversion"/>
  </si>
  <si>
    <t>Forest floor layer</t>
    <phoneticPr fontId="17" type="noConversion"/>
  </si>
  <si>
    <t>Plot A</t>
    <phoneticPr fontId="17" type="noConversion"/>
  </si>
  <si>
    <t>Woody surface (0-1cm)</t>
    <phoneticPr fontId="17" type="noConversion"/>
  </si>
  <si>
    <t>142W</t>
    <phoneticPr fontId="17" type="noConversion"/>
  </si>
  <si>
    <t>Large woody fuels</t>
    <phoneticPr fontId="17" type="noConversion"/>
  </si>
  <si>
    <t>de Groot et al., 2007: Estimating direct carbon emissions from Canadian wildland fires, International journal of wildland fires</t>
    <phoneticPr fontId="17" type="noConversion"/>
  </si>
  <si>
    <t>53.92N</t>
  </si>
  <si>
    <t>105.70W</t>
  </si>
  <si>
    <t>Montreal Lake, Saskatchewan, Canada</t>
    <phoneticPr fontId="17" type="noConversion"/>
  </si>
  <si>
    <t>Bonanza Creek</t>
    <phoneticPr fontId="17" type="noConversion"/>
  </si>
  <si>
    <t>FrostFire-L</t>
    <phoneticPr fontId="17" type="noConversion"/>
  </si>
  <si>
    <t>Block B, Based on LIDAR burned area measurements</t>
    <phoneticPr fontId="17" type="noConversion"/>
  </si>
  <si>
    <t>Block C1, Based on LIDAR burned area measurements</t>
    <phoneticPr fontId="17" type="noConversion"/>
  </si>
  <si>
    <t>Pine-Creek Arnhem</t>
  </si>
  <si>
    <t>63.08N</t>
    <phoneticPr fontId="17" type="noConversion"/>
  </si>
  <si>
    <t>142.30W</t>
    <phoneticPr fontId="17" type="noConversion"/>
  </si>
  <si>
    <t>Daly Basin</t>
  </si>
  <si>
    <t>Cairns</t>
  </si>
  <si>
    <t>-</t>
    <phoneticPr fontId="17" type="noConversion"/>
  </si>
  <si>
    <t>-</t>
    <phoneticPr fontId="17" type="noConversion"/>
  </si>
  <si>
    <t>Mix (wheat-rice-legume-corn-potato-oil plant-cotton), burned in 2001, total 4523km2</t>
    <phoneticPr fontId="17" type="noConversion"/>
  </si>
  <si>
    <t>25.7E</t>
    <phoneticPr fontId="17" type="noConversion"/>
  </si>
  <si>
    <t>25.23S</t>
    <phoneticPr fontId="17" type="noConversion"/>
  </si>
  <si>
    <t>27.2E</t>
    <phoneticPr fontId="17" type="noConversion"/>
  </si>
  <si>
    <t>CarboAfricaNumbi</t>
  </si>
  <si>
    <t>31.07E</t>
    <phoneticPr fontId="17" type="noConversion"/>
  </si>
  <si>
    <t>12.27S</t>
    <phoneticPr fontId="17" type="noConversion"/>
  </si>
  <si>
    <t>Williams et al., 1998: Fire behavior, Book</t>
    <phoneticPr fontId="17" type="noConversion"/>
  </si>
  <si>
    <t>Turetsky and Wieder, 2001: A direct apporach to quantifying organic matter lost as a result of peatland wildfire, Canadian journal of forest research</t>
    <phoneticPr fontId="17" type="noConversion"/>
  </si>
  <si>
    <t>Mix (wheat-rice-legume-corn-potato-oil plant-cotton), burned in 2004, total 4523km2</t>
    <phoneticPr fontId="17" type="noConversion"/>
  </si>
  <si>
    <t>Barley</t>
  </si>
  <si>
    <t>12.5S</t>
    <phoneticPr fontId="17" type="noConversion"/>
  </si>
  <si>
    <t>23.3E</t>
    <phoneticPr fontId="17" type="noConversion"/>
  </si>
  <si>
    <t>32.55E</t>
    <phoneticPr fontId="17" type="noConversion"/>
  </si>
  <si>
    <t>145.14E</t>
    <phoneticPr fontId="17" type="noConversion"/>
  </si>
  <si>
    <t>Scholes et al., 2011: Emissions from fire in Sub-Saharan Africa: the magnitude of sources, their variability and uncertainty, Global Environmental Research, 15, 53-63.</t>
    <phoneticPr fontId="17" type="noConversion"/>
  </si>
  <si>
    <t>25.08S</t>
    <phoneticPr fontId="17" type="noConversion"/>
  </si>
  <si>
    <t>Panton, 1993</t>
    <phoneticPr fontId="17" type="noConversion"/>
  </si>
  <si>
    <t>Plot 1, assuming an average of litter and branches burning efficiency</t>
    <phoneticPr fontId="17" type="noConversion"/>
  </si>
  <si>
    <t>17.48S</t>
    <phoneticPr fontId="17" type="noConversion"/>
  </si>
  <si>
    <t>140.08E</t>
    <phoneticPr fontId="17" type="noConversion"/>
  </si>
  <si>
    <t>14.18S</t>
    <phoneticPr fontId="17" type="noConversion"/>
  </si>
  <si>
    <t>132.25E</t>
    <phoneticPr fontId="17" type="noConversion"/>
  </si>
  <si>
    <t>26.49S</t>
    <phoneticPr fontId="17" type="noConversion"/>
  </si>
  <si>
    <t>150.46E</t>
    <phoneticPr fontId="17" type="noConversion"/>
  </si>
  <si>
    <t>21.13S</t>
    <phoneticPr fontId="17" type="noConversion"/>
  </si>
  <si>
    <t>2.33S</t>
  </si>
  <si>
    <t>Fairbanks</t>
  </si>
  <si>
    <t>25,27</t>
  </si>
  <si>
    <t>South Slope</t>
  </si>
  <si>
    <t>South Slope, assuming C content of 50%</t>
    <phoneticPr fontId="17" type="noConversion"/>
  </si>
  <si>
    <t>Grassen and small shrubs</t>
    <phoneticPr fontId="17" type="noConversion"/>
  </si>
  <si>
    <t>Plot 1: Scots pine, moderate fire intensity</t>
    <phoneticPr fontId="17" type="noConversion"/>
  </si>
  <si>
    <t>Down woody fuels</t>
    <phoneticPr fontId="17" type="noConversion"/>
  </si>
  <si>
    <t>Flat</t>
  </si>
  <si>
    <t>Flat, assuming C content of 50%</t>
    <phoneticPr fontId="17" type="noConversion"/>
  </si>
  <si>
    <t>Asia</t>
  </si>
  <si>
    <t>Mixed Wood</t>
  </si>
  <si>
    <t>Innoko Wildfire refuge, Alaska</t>
    <phoneticPr fontId="17" type="noConversion"/>
  </si>
  <si>
    <t>28.85S</t>
    <phoneticPr fontId="17" type="noConversion"/>
  </si>
  <si>
    <t>30E</t>
    <phoneticPr fontId="17" type="noConversion"/>
  </si>
  <si>
    <t>25.4S</t>
    <phoneticPr fontId="17" type="noConversion"/>
  </si>
  <si>
    <t>30.6E</t>
    <phoneticPr fontId="17" type="noConversion"/>
  </si>
  <si>
    <t>24.2S</t>
    <phoneticPr fontId="17" type="noConversion"/>
  </si>
  <si>
    <t>31.13E</t>
    <phoneticPr fontId="17" type="noConversion"/>
  </si>
  <si>
    <t>23.65S</t>
    <phoneticPr fontId="17" type="noConversion"/>
  </si>
  <si>
    <t>30.67E</t>
    <phoneticPr fontId="17" type="noConversion"/>
  </si>
  <si>
    <t>Litter and branches</t>
    <phoneticPr fontId="17" type="noConversion"/>
  </si>
  <si>
    <t>YEAR</t>
    <phoneticPr fontId="17" type="noConversion"/>
  </si>
  <si>
    <t>17.99S</t>
    <phoneticPr fontId="17" type="noConversion"/>
  </si>
  <si>
    <t>31.19E</t>
    <phoneticPr fontId="17" type="noConversion"/>
  </si>
  <si>
    <t>17.06S</t>
    <phoneticPr fontId="17" type="noConversion"/>
  </si>
  <si>
    <t>Different depth classes used in calculation (1.2cm)</t>
    <phoneticPr fontId="17" type="noConversion"/>
  </si>
  <si>
    <t>Europe</t>
    <phoneticPr fontId="17" type="noConversion"/>
  </si>
  <si>
    <t>19.65S</t>
    <phoneticPr fontId="17" type="noConversion"/>
  </si>
  <si>
    <t>33.3E</t>
    <phoneticPr fontId="17" type="noConversion"/>
  </si>
  <si>
    <t>17.73S</t>
    <phoneticPr fontId="17" type="noConversion"/>
  </si>
  <si>
    <t>18.18S</t>
    <phoneticPr fontId="17" type="noConversion"/>
  </si>
  <si>
    <t>31.47E</t>
    <phoneticPr fontId="17" type="noConversion"/>
  </si>
  <si>
    <t>17.72S</t>
    <phoneticPr fontId="17" type="noConversion"/>
  </si>
  <si>
    <t>31.02E</t>
    <phoneticPr fontId="17" type="noConversion"/>
  </si>
  <si>
    <t>Different depth classes used in calculation (2.1cm)</t>
    <phoneticPr fontId="17" type="noConversion"/>
  </si>
  <si>
    <t>30.49E</t>
    <phoneticPr fontId="17" type="noConversion"/>
  </si>
  <si>
    <t>17.59S</t>
    <phoneticPr fontId="17" type="noConversion"/>
  </si>
  <si>
    <t>19.27S</t>
    <phoneticPr fontId="17" type="noConversion"/>
  </si>
  <si>
    <t>30.44E</t>
    <phoneticPr fontId="17" type="noConversion"/>
  </si>
  <si>
    <t>20.85S</t>
    <phoneticPr fontId="17" type="noConversion"/>
  </si>
  <si>
    <t>132.40E</t>
    <phoneticPr fontId="17" type="noConversion"/>
  </si>
  <si>
    <t>12.7S</t>
    <phoneticPr fontId="17" type="noConversion"/>
  </si>
  <si>
    <t>-</t>
    <phoneticPr fontId="17" type="noConversion"/>
  </si>
  <si>
    <t>Continental bog 2</t>
    <phoneticPr fontId="17" type="noConversion"/>
  </si>
  <si>
    <t>Lat/Lon average</t>
    <phoneticPr fontId="17" type="noConversion"/>
  </si>
  <si>
    <t>133.55E</t>
    <phoneticPr fontId="17" type="noConversion"/>
  </si>
  <si>
    <t>130.59E</t>
    <phoneticPr fontId="17" type="noConversion"/>
  </si>
  <si>
    <t>Yibarbuk et al., 2001</t>
    <phoneticPr fontId="17" type="noConversion"/>
  </si>
  <si>
    <t>Littoral</t>
  </si>
  <si>
    <t>Crops</t>
  </si>
  <si>
    <t>Mix (wheat-rice-legume-corn-potato-oil plant-cotton), burned in 2005, total 4523km2</t>
    <phoneticPr fontId="17" type="noConversion"/>
  </si>
  <si>
    <t>Dry Season</t>
  </si>
  <si>
    <t>2.31S</t>
  </si>
  <si>
    <t>Cereal crops, 7000000ha</t>
    <phoneticPr fontId="17" type="noConversion"/>
  </si>
  <si>
    <t>145.46E</t>
    <phoneticPr fontId="17" type="noConversion"/>
  </si>
  <si>
    <t>White, 1998</t>
    <phoneticPr fontId="17" type="noConversion"/>
  </si>
  <si>
    <t>Williams, pers. Comm.</t>
    <phoneticPr fontId="17" type="noConversion"/>
  </si>
  <si>
    <t xml:space="preserve">MONTH </t>
    <phoneticPr fontId="17" type="noConversion"/>
  </si>
  <si>
    <t>DAY</t>
    <phoneticPr fontId="17" type="noConversion"/>
  </si>
  <si>
    <t>Wallmer, 1994</t>
    <phoneticPr fontId="17" type="noConversion"/>
  </si>
  <si>
    <t>16.55S</t>
    <phoneticPr fontId="17" type="noConversion"/>
  </si>
  <si>
    <t>12.42S</t>
    <phoneticPr fontId="17" type="noConversion"/>
  </si>
  <si>
    <t>Spinifex (hard with eucalypts, acacias)</t>
  </si>
  <si>
    <t>-</t>
    <phoneticPr fontId="17" type="noConversion"/>
  </si>
  <si>
    <t>-</t>
    <phoneticPr fontId="17" type="noConversion"/>
  </si>
  <si>
    <t>Forest floor</t>
    <phoneticPr fontId="17" type="noConversion"/>
  </si>
  <si>
    <t>Total</t>
    <phoneticPr fontId="17" type="noConversion"/>
  </si>
  <si>
    <t>61.61N</t>
  </si>
  <si>
    <t>149.04W</t>
  </si>
  <si>
    <t>Palmer</t>
  </si>
  <si>
    <t>Litter</t>
    <phoneticPr fontId="17" type="noConversion"/>
  </si>
  <si>
    <t>Chisana 1</t>
    <phoneticPr fontId="17" type="noConversion"/>
  </si>
  <si>
    <t>Deshka 1</t>
    <phoneticPr fontId="17" type="noConversion"/>
  </si>
  <si>
    <t>Deshka 2</t>
    <phoneticPr fontId="17" type="noConversion"/>
  </si>
  <si>
    <t>62.69N</t>
  </si>
  <si>
    <t>141.77W</t>
  </si>
  <si>
    <t>Tetlin Refuge</t>
  </si>
  <si>
    <t>Tetlin 1</t>
    <phoneticPr fontId="17" type="noConversion"/>
  </si>
  <si>
    <t>South East Coastal Plain, USA</t>
    <phoneticPr fontId="17" type="noConversion"/>
  </si>
  <si>
    <t>Chisana 2</t>
    <phoneticPr fontId="17" type="noConversion"/>
  </si>
  <si>
    <t>Total woody fuels</t>
    <phoneticPr fontId="17" type="noConversion"/>
  </si>
  <si>
    <t>Chisana 3</t>
    <phoneticPr fontId="17" type="noConversion"/>
  </si>
  <si>
    <t>Chisana 4</t>
    <phoneticPr fontId="17" type="noConversion"/>
  </si>
  <si>
    <t>64.87N</t>
  </si>
  <si>
    <t>147.71W</t>
  </si>
  <si>
    <t>Ivanova et al., 2011: Fire impact on carbon storage in light conifer forests of the lower Anagara region, Siberia</t>
    <phoneticPr fontId="17" type="noConversion"/>
  </si>
  <si>
    <t>FrostFire-U</t>
    <phoneticPr fontId="17" type="noConversion"/>
  </si>
  <si>
    <t>FrostFire-Birch 1</t>
    <phoneticPr fontId="17" type="noConversion"/>
  </si>
  <si>
    <t>Woody surface (1-3cm)</t>
    <phoneticPr fontId="17" type="noConversion"/>
  </si>
  <si>
    <t>Woody surface (3-7cm)</t>
    <phoneticPr fontId="17" type="noConversion"/>
  </si>
  <si>
    <t>Mature Pine</t>
  </si>
  <si>
    <t>Dead woody debris</t>
    <phoneticPr fontId="17" type="noConversion"/>
  </si>
  <si>
    <t>FL (t/ha)</t>
    <phoneticPr fontId="17" type="noConversion"/>
  </si>
  <si>
    <t xml:space="preserve"> FL sd (t/ha)</t>
    <phoneticPr fontId="17" type="noConversion"/>
  </si>
  <si>
    <t>CC sd (%)</t>
    <phoneticPr fontId="17" type="noConversion"/>
  </si>
  <si>
    <t xml:space="preserve">FC  (t/ha) </t>
    <phoneticPr fontId="17" type="noConversion"/>
  </si>
  <si>
    <t>FC sd (t/ha)</t>
    <phoneticPr fontId="17" type="noConversion"/>
  </si>
  <si>
    <t>68.58N</t>
  </si>
  <si>
    <t>149.72W</t>
  </si>
  <si>
    <t>Block C2, Based on LIDAR burned area measurements</t>
    <phoneticPr fontId="17" type="noConversion"/>
  </si>
  <si>
    <t>1997/1998</t>
    <phoneticPr fontId="17" type="noConversion"/>
  </si>
  <si>
    <t>Kimberley</t>
  </si>
  <si>
    <t>Kimberley, Wangalala 1</t>
  </si>
  <si>
    <t>Mix (wheat-rice-legume-corn-potato-oil plant-cotton), burned in 2003, total 4523km2</t>
    <phoneticPr fontId="17" type="noConversion"/>
  </si>
  <si>
    <t>Cook, 2003: Fuel dynamics, Nutrients, and Atmospheric Chemistry</t>
  </si>
  <si>
    <t>1990s</t>
  </si>
  <si>
    <t>Anaktuvuk River, Alaska</t>
    <phoneticPr fontId="17" type="noConversion"/>
  </si>
  <si>
    <t>Yang et al., 2008: Quantification of crop residue burning in the field and its influence on ambient air quality in Suqian, China</t>
    <phoneticPr fontId="17" type="noConversion"/>
  </si>
  <si>
    <t>33.94N</t>
  </si>
  <si>
    <t>118.33E</t>
  </si>
  <si>
    <t>24.25S</t>
    <phoneticPr fontId="17" type="noConversion"/>
  </si>
  <si>
    <t>Saharjo and Nurhayati, 2006: Domination and composition structure change at hemic peat natural regeneration following burning: a case study in Pelalawan, Riau Province</t>
    <phoneticPr fontId="17" type="noConversion"/>
  </si>
  <si>
    <t>55.85N</t>
  </si>
  <si>
    <t>107.67W</t>
  </si>
  <si>
    <t>Patuanak, Canada</t>
    <phoneticPr fontId="17" type="noConversion"/>
  </si>
  <si>
    <t>Reference</t>
  </si>
  <si>
    <t>Latitude</t>
  </si>
  <si>
    <t>Longitude</t>
  </si>
  <si>
    <t>Location</t>
  </si>
  <si>
    <t>23.82S</t>
    <phoneticPr fontId="17" type="noConversion"/>
  </si>
  <si>
    <t>Mack et al., 2011: Carbon loss from an unprecedented arctic tundra wildfire, Nature.</t>
    <phoneticPr fontId="17" type="noConversion"/>
  </si>
  <si>
    <t>8,7</t>
  </si>
  <si>
    <t>Different depth classes used in calculation (2.8cm)</t>
    <phoneticPr fontId="17" type="noConversion"/>
  </si>
  <si>
    <t>114.07E</t>
  </si>
  <si>
    <t>-</t>
    <phoneticPr fontId="17" type="noConversion"/>
  </si>
  <si>
    <t>Hurst, GriFineFuelsith &amp; Cook, 1994</t>
    <phoneticPr fontId="17" type="noConversion"/>
  </si>
  <si>
    <t>Mott &amp; Andrew., 1985</t>
    <phoneticPr fontId="17" type="noConversion"/>
  </si>
  <si>
    <t>33.32E</t>
    <phoneticPr fontId="17" type="noConversion"/>
  </si>
  <si>
    <t>19.63S</t>
    <phoneticPr fontId="17" type="noConversion"/>
  </si>
  <si>
    <t>Kane et al., 2007: Topographic influences on wildfire consumption of soil organic carbon in interior Alaska: Implications fro black carbon accumulation, JGR Biogeosciences</t>
    <phoneticPr fontId="17" type="noConversion"/>
  </si>
  <si>
    <t>65.03N</t>
  </si>
  <si>
    <t>147.85W</t>
  </si>
  <si>
    <t>Cereal crops</t>
    <phoneticPr fontId="17" type="noConversion"/>
  </si>
  <si>
    <t>Sugar cane</t>
    <phoneticPr fontId="17" type="noConversion"/>
  </si>
  <si>
    <t>Hille and Stephens, 2005: Mixed conifer forest duff consumption during prescribed fires: tree crown impacts, Forest Science, 51(5)</t>
    <phoneticPr fontId="17" type="noConversion"/>
  </si>
  <si>
    <t>120.62W</t>
  </si>
  <si>
    <t>Blodgett Forest, California</t>
    <phoneticPr fontId="17" type="noConversion"/>
  </si>
  <si>
    <t>1hr (0-0.6)</t>
    <phoneticPr fontId="17" type="noConversion"/>
  </si>
  <si>
    <t>Moist Burn</t>
  </si>
  <si>
    <t>10hr (0.6-2.5)</t>
    <phoneticPr fontId="17" type="noConversion"/>
  </si>
  <si>
    <t>31.56E</t>
    <phoneticPr fontId="17" type="noConversion"/>
  </si>
  <si>
    <t>20.84S</t>
    <phoneticPr fontId="17" type="noConversion"/>
  </si>
  <si>
    <t>27.5S</t>
    <phoneticPr fontId="17" type="noConversion"/>
  </si>
  <si>
    <t>31.2E</t>
    <phoneticPr fontId="17" type="noConversion"/>
  </si>
  <si>
    <t>27.6S</t>
    <phoneticPr fontId="17" type="noConversion"/>
  </si>
  <si>
    <t>32.22E</t>
    <phoneticPr fontId="17" type="noConversion"/>
  </si>
  <si>
    <t>98.92E</t>
  </si>
  <si>
    <t>Lower Angara</t>
  </si>
  <si>
    <t>2002-2007</t>
  </si>
  <si>
    <t>Dead woody debris</t>
    <phoneticPr fontId="17" type="noConversion"/>
  </si>
  <si>
    <t>Total</t>
    <phoneticPr fontId="17" type="noConversion"/>
  </si>
  <si>
    <t>-</t>
    <phoneticPr fontId="17" type="noConversion"/>
  </si>
  <si>
    <t>Grassen and small shrubs</t>
    <phoneticPr fontId="17" type="noConversion"/>
  </si>
  <si>
    <t>117.63W</t>
  </si>
  <si>
    <t>Fort Providence, Canada</t>
    <phoneticPr fontId="17" type="noConversion"/>
  </si>
  <si>
    <t>61.69N</t>
  </si>
  <si>
    <t>107.94W</t>
  </si>
  <si>
    <t>36.60N</t>
  </si>
  <si>
    <t>118.81W</t>
  </si>
  <si>
    <t>24.65S</t>
    <phoneticPr fontId="17" type="noConversion"/>
  </si>
  <si>
    <t>28.7E</t>
    <phoneticPr fontId="17" type="noConversion"/>
  </si>
  <si>
    <t>Page et al., 2002: The amount of carbon released from peat and forest fires in Indonesia during 1997</t>
  </si>
  <si>
    <t>2.52S</t>
  </si>
  <si>
    <t>Dead + down (&lt;7cm)</t>
    <phoneticPr fontId="17" type="noConversion"/>
  </si>
  <si>
    <t>Total surface fuels</t>
    <phoneticPr fontId="17" type="noConversion"/>
  </si>
  <si>
    <t>de Groot et al., 2009: Forest floor fuel consumption and carbon emissions in Canadian boreal forest fires, Canadian Journal of Forest Research</t>
    <phoneticPr fontId="17" type="noConversion"/>
  </si>
  <si>
    <t>46.87N</t>
  </si>
  <si>
    <t>Different depth classes used in calculation (3.2cm)</t>
    <phoneticPr fontId="17" type="noConversion"/>
  </si>
  <si>
    <t>North Slope</t>
  </si>
  <si>
    <t xml:space="preserve">Biome-averaged values based on unique measurement location, and focus on FC measurements </t>
    <phoneticPr fontId="17" type="noConversion"/>
  </si>
  <si>
    <t>132.3E</t>
    <phoneticPr fontId="17" type="noConversion"/>
  </si>
  <si>
    <t>Douglas &amp; O'Conner., 2004</t>
    <phoneticPr fontId="17" type="noConversion"/>
  </si>
  <si>
    <t>Harden et al., 2006: Effects of wildfire and permafrost on soil organic matter and soil climate in interior Alaska, Global change biology</t>
    <phoneticPr fontId="17" type="noConversion"/>
  </si>
  <si>
    <t>64.40N</t>
  </si>
  <si>
    <t>Permafrost bog 1</t>
    <phoneticPr fontId="17" type="noConversion"/>
  </si>
  <si>
    <t>Permafrost bog 2</t>
    <phoneticPr fontId="17" type="noConversion"/>
  </si>
  <si>
    <t>-</t>
    <phoneticPr fontId="17" type="noConversion"/>
  </si>
  <si>
    <t>-</t>
    <phoneticPr fontId="17" type="noConversion"/>
  </si>
  <si>
    <t>Both</t>
    <phoneticPr fontId="17" type="noConversion"/>
  </si>
  <si>
    <t>22.85S</t>
    <phoneticPr fontId="17" type="noConversion"/>
  </si>
  <si>
    <t>47.60W</t>
    <phoneticPr fontId="17" type="noConversion"/>
  </si>
  <si>
    <t>5,6</t>
  </si>
  <si>
    <t>Hummocks</t>
  </si>
  <si>
    <t>Hollows</t>
  </si>
  <si>
    <t>REF</t>
    <phoneticPr fontId="17" type="noConversion"/>
  </si>
  <si>
    <t>LAT</t>
    <phoneticPr fontId="17" type="noConversion"/>
  </si>
  <si>
    <t>Alaska</t>
    <phoneticPr fontId="17" type="noConversion"/>
  </si>
  <si>
    <t>Pre-crown fuels (excluding boles). Mature black spruce forest, 38 samples</t>
    <phoneticPr fontId="17" type="noConversion"/>
  </si>
  <si>
    <t>Total woody fuels</t>
    <phoneticPr fontId="17" type="noConversion"/>
  </si>
  <si>
    <t>107.78W</t>
  </si>
  <si>
    <t>Green Lake, Canada</t>
    <phoneticPr fontId="17" type="noConversion"/>
  </si>
  <si>
    <t>53.57N</t>
  </si>
  <si>
    <t>88.62W</t>
  </si>
  <si>
    <t>Ground layer fuel. Mature black spruce forest, 38 samples. Personal communication Kasischke</t>
    <phoneticPr fontId="17" type="noConversion"/>
  </si>
  <si>
    <t>146W</t>
    <phoneticPr fontId="17" type="noConversion"/>
  </si>
  <si>
    <t>FIRESCAN Science Team, 1996: Fire in ecosystems of boreal Eurasia: The Bor Forest Island Fire Experiment Research Campaigns Asia-North (FIRESCAN)</t>
    <phoneticPr fontId="17" type="noConversion"/>
  </si>
  <si>
    <t>60.45N</t>
    <phoneticPr fontId="17" type="noConversion"/>
  </si>
  <si>
    <t>89.25E</t>
    <phoneticPr fontId="17" type="noConversion"/>
  </si>
  <si>
    <t>Scott County, Arkansas</t>
    <phoneticPr fontId="17" type="noConversion"/>
  </si>
  <si>
    <t>Organic Matter, Non-permafrost</t>
    <phoneticPr fontId="17" type="noConversion"/>
  </si>
  <si>
    <t>Organic Matter, Permafrost</t>
    <phoneticPr fontId="17" type="noConversion"/>
  </si>
  <si>
    <t>CC</t>
    <phoneticPr fontId="17" type="noConversion"/>
  </si>
  <si>
    <t>Piracicaba, Sao Paulo state</t>
    <phoneticPr fontId="17" type="noConversion"/>
  </si>
  <si>
    <t>34.29N</t>
    <phoneticPr fontId="17" type="noConversion"/>
  </si>
  <si>
    <t>118.33W</t>
    <phoneticPr fontId="17" type="noConversion"/>
  </si>
  <si>
    <t>Newhall, California</t>
    <phoneticPr fontId="17" type="noConversion"/>
  </si>
  <si>
    <t>32.32N</t>
    <phoneticPr fontId="17" type="noConversion"/>
  </si>
  <si>
    <t>117.15W</t>
    <phoneticPr fontId="17" type="noConversion"/>
  </si>
  <si>
    <t>Second growth tropical dry forest, slash burn 1</t>
    <phoneticPr fontId="17" type="noConversion"/>
  </si>
  <si>
    <t>Woody debris (0-0.64)</t>
    <phoneticPr fontId="17" type="noConversion"/>
  </si>
  <si>
    <t>Woody debris (0.65-2.54)</t>
    <phoneticPr fontId="17" type="noConversion"/>
  </si>
  <si>
    <t>Woody debris (2.55-7.62)</t>
    <phoneticPr fontId="17" type="noConversion"/>
  </si>
  <si>
    <t>Woody debris (&gt;7.62)</t>
    <phoneticPr fontId="17" type="noConversion"/>
  </si>
  <si>
    <t>58.70N</t>
  </si>
  <si>
    <t>98.42E</t>
  </si>
  <si>
    <t>South America</t>
    <phoneticPr fontId="17" type="noConversion"/>
  </si>
  <si>
    <t>Total biomass</t>
    <phoneticPr fontId="17" type="noConversion"/>
  </si>
  <si>
    <t>-</t>
    <phoneticPr fontId="17" type="noConversion"/>
  </si>
  <si>
    <t>-</t>
    <phoneticPr fontId="17" type="noConversion"/>
  </si>
  <si>
    <t>Goodrick et al., 2010: Estimating fuel consumption for the upper coastal plain of South Carolina, Southern Journal of applied forestry</t>
    <phoneticPr fontId="17" type="noConversion"/>
  </si>
  <si>
    <t>Wood &gt;10cm</t>
    <phoneticPr fontId="17" type="noConversion"/>
  </si>
  <si>
    <t>Wood &lt;10cm</t>
    <phoneticPr fontId="17" type="noConversion"/>
  </si>
  <si>
    <t>Plot 3: Scots pine, low fire intensity</t>
    <phoneticPr fontId="17" type="noConversion"/>
  </si>
  <si>
    <t>63N</t>
    <phoneticPr fontId="17" type="noConversion"/>
  </si>
  <si>
    <t>29.92E</t>
    <phoneticPr fontId="17" type="noConversion"/>
  </si>
  <si>
    <t>17.35S</t>
    <phoneticPr fontId="17" type="noConversion"/>
  </si>
  <si>
    <t>24.65E</t>
    <phoneticPr fontId="17" type="noConversion"/>
  </si>
  <si>
    <t>Darwin Lake, Canada</t>
    <phoneticPr fontId="17" type="noConversion"/>
  </si>
  <si>
    <t>Suqian, China</t>
    <phoneticPr fontId="17" type="noConversion"/>
  </si>
  <si>
    <t>Stocks, 1987a: Fire potential in the spruce budworm-damaged forests of Ontario, Forestry Chronicle, 63(1), 8-14</t>
    <phoneticPr fontId="17" type="noConversion"/>
  </si>
  <si>
    <t>46.89N</t>
  </si>
  <si>
    <t>Woody debris (7.63-20.5), sound</t>
    <phoneticPr fontId="17" type="noConversion"/>
  </si>
  <si>
    <t>Foliage</t>
    <phoneticPr fontId="17" type="noConversion"/>
  </si>
  <si>
    <t>Hollows</t>
    <phoneticPr fontId="17" type="noConversion"/>
  </si>
  <si>
    <t>Plot 2: Scots pine, high fire intensity</t>
    <phoneticPr fontId="17" type="noConversion"/>
  </si>
  <si>
    <t>Plot 5: Larch mixed-wood, high fire intensity</t>
    <phoneticPr fontId="17" type="noConversion"/>
  </si>
  <si>
    <t>Surface</t>
  </si>
  <si>
    <t>Pelawan, Riau, Indonesia</t>
    <phoneticPr fontId="17" type="noConversion"/>
  </si>
  <si>
    <t>2001-2002</t>
  </si>
  <si>
    <t>19.62S</t>
    <phoneticPr fontId="17" type="noConversion"/>
  </si>
  <si>
    <t>33.33E</t>
    <phoneticPr fontId="17" type="noConversion"/>
  </si>
  <si>
    <t>Litter</t>
    <phoneticPr fontId="17" type="noConversion"/>
  </si>
  <si>
    <t>Duff</t>
    <phoneticPr fontId="17" type="noConversion"/>
  </si>
  <si>
    <t>Dead woody debris</t>
    <phoneticPr fontId="17" type="noConversion"/>
  </si>
  <si>
    <t>Asia</t>
    <phoneticPr fontId="17" type="noConversion"/>
  </si>
  <si>
    <t>Day</t>
  </si>
  <si>
    <t>Continent</t>
  </si>
  <si>
    <t>CC (%)</t>
  </si>
  <si>
    <t>Notes</t>
  </si>
  <si>
    <t>Fuel type</t>
    <phoneticPr fontId="17" type="noConversion"/>
  </si>
  <si>
    <t>48.92N</t>
  </si>
  <si>
    <t>85.29W</t>
  </si>
  <si>
    <t>1973-1983</t>
  </si>
  <si>
    <t>Mountain laurel</t>
    <phoneticPr fontId="17" type="noConversion"/>
  </si>
  <si>
    <t>Hillsborough, North Carolina</t>
    <phoneticPr fontId="17" type="noConversion"/>
  </si>
  <si>
    <t>36N</t>
    <phoneticPr fontId="17" type="noConversion"/>
  </si>
  <si>
    <t>Cofer III et al. 1998: Crown fire emissions of CO2, CO, H2, CH4, and TNMHC from a dense jack pine boreal forest fire</t>
    <phoneticPr fontId="17" type="noConversion"/>
  </si>
  <si>
    <t>61.67N</t>
    <phoneticPr fontId="17" type="noConversion"/>
  </si>
  <si>
    <t>Corn</t>
    <phoneticPr fontId="17" type="noConversion"/>
  </si>
  <si>
    <t>-</t>
    <phoneticPr fontId="17" type="noConversion"/>
  </si>
  <si>
    <t>Total</t>
    <phoneticPr fontId="17" type="noConversion"/>
  </si>
  <si>
    <t>-</t>
    <phoneticPr fontId="17" type="noConversion"/>
  </si>
  <si>
    <t>Litter</t>
    <phoneticPr fontId="17" type="noConversion"/>
  </si>
  <si>
    <t>Duff</t>
    <phoneticPr fontId="17" type="noConversion"/>
  </si>
  <si>
    <t>Litter</t>
    <phoneticPr fontId="17" type="noConversion"/>
  </si>
  <si>
    <t>Duff</t>
    <phoneticPr fontId="17" type="noConversion"/>
  </si>
  <si>
    <t>Dead woody debris</t>
    <phoneticPr fontId="17" type="noConversion"/>
  </si>
  <si>
    <t>Total woody fuels</t>
    <phoneticPr fontId="17" type="noConversion"/>
  </si>
  <si>
    <t>102.68E</t>
  </si>
  <si>
    <t>Ivanova et al., 2011: Fire impact on carbon storage in light conifer forests of the lower Anagara region, Siberia</t>
    <phoneticPr fontId="17" type="noConversion"/>
  </si>
  <si>
    <t>58.58N</t>
  </si>
  <si>
    <t>9.11S</t>
    <phoneticPr fontId="17" type="noConversion"/>
  </si>
  <si>
    <t>63.16W</t>
    <phoneticPr fontId="17" type="noConversion"/>
  </si>
  <si>
    <t>Jamari, Rondonia</t>
    <phoneticPr fontId="17" type="noConversion"/>
  </si>
  <si>
    <t>Tumbarumba, New South Wales</t>
    <phoneticPr fontId="17" type="noConversion"/>
  </si>
  <si>
    <t>Hurst et al., 1996</t>
    <phoneticPr fontId="17" type="noConversion"/>
  </si>
  <si>
    <t>33.47S</t>
    <phoneticPr fontId="17" type="noConversion"/>
  </si>
  <si>
    <t>150.33E</t>
    <phoneticPr fontId="17" type="noConversion"/>
  </si>
  <si>
    <t>Sydney</t>
  </si>
  <si>
    <t>Forest</t>
  </si>
  <si>
    <t>Panton, 1993</t>
    <phoneticPr fontId="17" type="noConversion"/>
  </si>
  <si>
    <t>12.27S</t>
    <phoneticPr fontId="17" type="noConversion"/>
  </si>
  <si>
    <t xml:space="preserve">1000h time lag and larger, sound </t>
    <phoneticPr fontId="17" type="noConversion"/>
  </si>
  <si>
    <t>1000h time lag and larger, rotten</t>
    <phoneticPr fontId="17" type="noConversion"/>
  </si>
  <si>
    <t>Duff</t>
    <phoneticPr fontId="17" type="noConversion"/>
  </si>
  <si>
    <t>Duff and litter</t>
    <phoneticPr fontId="17" type="noConversion"/>
  </si>
  <si>
    <t>Sequoia National Park, California</t>
    <phoneticPr fontId="17" type="noConversion"/>
  </si>
  <si>
    <t>1h time lag</t>
    <phoneticPr fontId="17" type="noConversion"/>
  </si>
  <si>
    <t>10h time lag</t>
    <phoneticPr fontId="17" type="noConversion"/>
  </si>
  <si>
    <t>Warra, Tasmania</t>
    <phoneticPr fontId="17" type="noConversion"/>
  </si>
  <si>
    <t>35.77S</t>
  </si>
  <si>
    <t>Sharpsend Creek, Canada</t>
    <phoneticPr fontId="17" type="noConversion"/>
  </si>
  <si>
    <t>1970-2005</t>
  </si>
  <si>
    <t>North Slope, assuming C content of 50%</t>
    <phoneticPr fontId="17" type="noConversion"/>
  </si>
  <si>
    <t>-</t>
    <phoneticPr fontId="17" type="noConversion"/>
  </si>
  <si>
    <t>Kenshoe Lake, Canada</t>
    <phoneticPr fontId="17" type="noConversion"/>
  </si>
  <si>
    <t>61.37N</t>
  </si>
  <si>
    <t>Goode et al., 2000: Measurements of excess O3, CO2, CO, CH4, C2H4, C2H2, HCN, NO, NH3, HCOOH, CH3COOH, HCHO, and CH3OH in 1997 Alaskan biomass burning plumes by airborne Fourier transform infrared spectroscopy (AFTIR)</t>
    <phoneticPr fontId="17" type="noConversion"/>
  </si>
  <si>
    <t>63.38N</t>
    <phoneticPr fontId="17" type="noConversion"/>
  </si>
  <si>
    <t>158.25W</t>
    <phoneticPr fontId="17" type="noConversion"/>
  </si>
  <si>
    <t>TYPE</t>
    <phoneticPr fontId="17" type="noConversion"/>
  </si>
  <si>
    <t>Sharpsand Creek</t>
  </si>
  <si>
    <t>-</t>
    <phoneticPr fontId="17" type="noConversion"/>
  </si>
  <si>
    <t>Total</t>
    <phoneticPr fontId="17" type="noConversion"/>
  </si>
  <si>
    <t>South-eastern Australia</t>
    <phoneticPr fontId="17" type="noConversion"/>
  </si>
  <si>
    <t>Australia</t>
    <phoneticPr fontId="17" type="noConversion"/>
  </si>
  <si>
    <t>Wildfire</t>
    <phoneticPr fontId="17" type="noConversion"/>
  </si>
  <si>
    <t>54.29N</t>
  </si>
  <si>
    <t>Combination of ground measurements and Satellite data</t>
    <phoneticPr fontId="17" type="noConversion"/>
  </si>
  <si>
    <t>Continental bog 1</t>
    <phoneticPr fontId="17" type="noConversion"/>
  </si>
  <si>
    <t>Stocks, 1987b: Fire behavior in immature jack pine, Canadian journal of forest research, 17(1), 80-86</t>
    <phoneticPr fontId="17" type="noConversion"/>
  </si>
  <si>
    <t>46.78N</t>
  </si>
  <si>
    <t>83.33W</t>
  </si>
  <si>
    <t>36S</t>
    <phoneticPr fontId="17" type="noConversion"/>
  </si>
  <si>
    <t>148E</t>
    <phoneticPr fontId="17" type="noConversion"/>
  </si>
  <si>
    <t>146W</t>
    <phoneticPr fontId="17" type="noConversion"/>
  </si>
  <si>
    <t>North America</t>
    <phoneticPr fontId="17" type="noConversion"/>
  </si>
  <si>
    <t>Kasabonika, Canada</t>
    <phoneticPr fontId="17" type="noConversion"/>
  </si>
  <si>
    <t>97.85W</t>
  </si>
  <si>
    <t xml:space="preserve">Lara et al., 2005: Properties of aerosols from sugar-cane burning emissions in Southeastern Brazil </t>
    <phoneticPr fontId="17" type="noConversion"/>
  </si>
  <si>
    <t>Thompson, Canada</t>
    <phoneticPr fontId="17" type="noConversion"/>
  </si>
  <si>
    <t>54.05N</t>
  </si>
  <si>
    <t>Burntwood River, Canada</t>
    <phoneticPr fontId="17" type="noConversion"/>
  </si>
  <si>
    <t>33.33N</t>
    <phoneticPr fontId="17" type="noConversion"/>
  </si>
  <si>
    <t>Kauffman et al., 1993: Biomass and nutrient dynamics associated with slash fires in neotropical dry forests</t>
    <phoneticPr fontId="17" type="noConversion"/>
  </si>
  <si>
    <t>7.98S</t>
    <phoneticPr fontId="17" type="noConversion"/>
  </si>
  <si>
    <t>38.32W</t>
    <phoneticPr fontId="17" type="noConversion"/>
  </si>
  <si>
    <t>2000 - Shrubby, surface</t>
    <phoneticPr fontId="17" type="noConversion"/>
  </si>
  <si>
    <t>117.16W</t>
    <phoneticPr fontId="17" type="noConversion"/>
  </si>
  <si>
    <t>Bear Creek, California</t>
    <phoneticPr fontId="17" type="noConversion"/>
  </si>
  <si>
    <t>Stocks, 1989: Fire behavior in mature jack pine, Canadian journal of forest research</t>
    <phoneticPr fontId="17" type="noConversion"/>
  </si>
  <si>
    <t>Mixed Conifer forest, Bisquit fire</t>
    <phoneticPr fontId="17" type="noConversion"/>
  </si>
  <si>
    <t>35.21N</t>
  </si>
  <si>
    <t>83.48W</t>
  </si>
  <si>
    <t>Plot 7: Larch mixed-wood, low fire intensity</t>
    <phoneticPr fontId="17" type="noConversion"/>
  </si>
  <si>
    <t>Savannah River Site, South Carolina/Georgia</t>
    <phoneticPr fontId="17" type="noConversion"/>
  </si>
  <si>
    <t>1998 - Open, surface</t>
    <phoneticPr fontId="17" type="noConversion"/>
  </si>
  <si>
    <t>Plot 4: Scots pine, low fire intensity</t>
    <phoneticPr fontId="17" type="noConversion"/>
  </si>
  <si>
    <t>37.50N</t>
    <phoneticPr fontId="17" type="noConversion"/>
  </si>
  <si>
    <t>122W</t>
    <phoneticPr fontId="17" type="noConversion"/>
  </si>
  <si>
    <t>2003-2004</t>
  </si>
  <si>
    <t>Total</t>
    <phoneticPr fontId="17" type="noConversion"/>
  </si>
  <si>
    <t>Total</t>
    <phoneticPr fontId="17" type="noConversion"/>
  </si>
  <si>
    <t>Hummocks</t>
    <phoneticPr fontId="17" type="noConversion"/>
  </si>
  <si>
    <t>National Key Deer Refuge, Florida</t>
    <phoneticPr fontId="17" type="noConversion"/>
  </si>
  <si>
    <t>1999 - Shrubby, surface</t>
    <phoneticPr fontId="17" type="noConversion"/>
  </si>
  <si>
    <t>2000 - Open, surface</t>
    <phoneticPr fontId="17" type="noConversion"/>
  </si>
  <si>
    <t>So. Appalachians</t>
    <phoneticPr fontId="17" type="noConversion"/>
  </si>
  <si>
    <t>105.81W</t>
  </si>
  <si>
    <t>Montreal Lake, Canada</t>
    <phoneticPr fontId="17" type="noConversion"/>
  </si>
  <si>
    <t>64.06N</t>
  </si>
  <si>
    <t>139.43W</t>
  </si>
  <si>
    <t>55.74N</t>
  </si>
  <si>
    <t>7,10</t>
  </si>
  <si>
    <t>-</t>
  </si>
  <si>
    <t>North America</t>
  </si>
  <si>
    <t>TNC, California</t>
    <phoneticPr fontId="17" type="noConversion"/>
  </si>
  <si>
    <t>Alaska</t>
    <phoneticPr fontId="17" type="noConversion"/>
  </si>
  <si>
    <t>1987-2005</t>
    <phoneticPr fontId="17" type="noConversion"/>
  </si>
  <si>
    <t>North America</t>
    <phoneticPr fontId="17" type="noConversion"/>
  </si>
  <si>
    <t>59.31N</t>
  </si>
  <si>
    <t>111.02W</t>
  </si>
  <si>
    <t>Overstory canopy fuels (1-3cm)</t>
    <phoneticPr fontId="17" type="noConversion"/>
  </si>
  <si>
    <t>Plot 1</t>
    <phoneticPr fontId="17" type="noConversion"/>
  </si>
  <si>
    <t>Plot 2</t>
    <phoneticPr fontId="17" type="noConversion"/>
  </si>
  <si>
    <t>Plot 3</t>
    <phoneticPr fontId="17" type="noConversion"/>
  </si>
  <si>
    <t>97.91W</t>
  </si>
  <si>
    <t>Plot 4</t>
    <phoneticPr fontId="17" type="noConversion"/>
  </si>
  <si>
    <t>Plot 5</t>
    <phoneticPr fontId="17" type="noConversion"/>
  </si>
  <si>
    <t>Understory canopy fuels (0-0.5cm)</t>
    <phoneticPr fontId="17" type="noConversion"/>
  </si>
  <si>
    <t>Plot 6</t>
    <phoneticPr fontId="17" type="noConversion"/>
  </si>
  <si>
    <t>83.43W</t>
  </si>
  <si>
    <t>Year</t>
  </si>
  <si>
    <t>Month</t>
  </si>
  <si>
    <t>Aubinadong River, Ontario, Canada</t>
    <phoneticPr fontId="17" type="noConversion"/>
  </si>
  <si>
    <t>Woody surface (&gt;7cm), sound</t>
    <phoneticPr fontId="17" type="noConversion"/>
  </si>
  <si>
    <t>Rice</t>
  </si>
  <si>
    <t>Wheat</t>
  </si>
  <si>
    <t>Total</t>
    <phoneticPr fontId="17" type="noConversion"/>
  </si>
  <si>
    <t>Stocks, 1989: Fire behavior in mature jack pine, Canadian journal of forest research</t>
    <phoneticPr fontId="17" type="noConversion"/>
  </si>
  <si>
    <t>Maraba, Para</t>
    <phoneticPr fontId="17" type="noConversion"/>
  </si>
  <si>
    <t>Attached foliage</t>
    <phoneticPr fontId="17" type="noConversion"/>
  </si>
  <si>
    <t>1000hr (&gt;7.6), sound</t>
    <phoneticPr fontId="17" type="noConversion"/>
  </si>
  <si>
    <t>1000hr (&gt;7.6), rottem</t>
    <phoneticPr fontId="17" type="noConversion"/>
  </si>
  <si>
    <t>Plot 2, assuming an average of litter and branches burning efficiency</t>
    <phoneticPr fontId="17" type="noConversion"/>
  </si>
  <si>
    <t>9.11S</t>
    <phoneticPr fontId="17" type="noConversion"/>
  </si>
  <si>
    <t>63.16W</t>
    <phoneticPr fontId="17" type="noConversion"/>
  </si>
  <si>
    <t>Primary Forest Slash, Balteke</t>
    <phoneticPr fontId="17" type="noConversion"/>
  </si>
  <si>
    <t>148.03E</t>
  </si>
  <si>
    <t>Guild et al., 1998: Dynamics associated with total aboveground biomass, C, nutreint pools, and biomass burning of primary forest and pasture in Rondonia, Brazil during SCAR-B, Journal of geophysical research, 103, D24, 32091-32100.</t>
    <phoneticPr fontId="17" type="noConversion"/>
  </si>
  <si>
    <t>Forest floor (Oe+Oa)</t>
    <phoneticPr fontId="17" type="noConversion"/>
  </si>
  <si>
    <t>2,5</t>
    <phoneticPr fontId="17" type="noConversion"/>
  </si>
  <si>
    <t>Herbs</t>
    <phoneticPr fontId="17" type="noConversion"/>
  </si>
  <si>
    <t>Grass</t>
    <phoneticPr fontId="17" type="noConversion"/>
  </si>
  <si>
    <t>Sprouts</t>
    <phoneticPr fontId="17" type="noConversion"/>
  </si>
  <si>
    <t>Total</t>
    <phoneticPr fontId="17" type="noConversion"/>
  </si>
  <si>
    <t>Mature loblolly and longleaf pine (Urbanski et al., 2007), average of range taken (note, given in acres!)</t>
    <phoneticPr fontId="17" type="noConversion"/>
  </si>
  <si>
    <t>2,5</t>
  </si>
  <si>
    <t>Litter</t>
    <phoneticPr fontId="17" type="noConversion"/>
  </si>
  <si>
    <t>Forest floor (Oe+Oa)</t>
    <phoneticPr fontId="17" type="noConversion"/>
  </si>
  <si>
    <t>Herbs</t>
    <phoneticPr fontId="17" type="noConversion"/>
  </si>
  <si>
    <t>Grass</t>
    <phoneticPr fontId="17" type="noConversion"/>
  </si>
  <si>
    <t>37.50N</t>
    <phoneticPr fontId="17" type="noConversion"/>
  </si>
  <si>
    <t>122W</t>
    <phoneticPr fontId="17" type="noConversion"/>
  </si>
  <si>
    <t>South East Coastal Plain, USA</t>
    <phoneticPr fontId="17" type="noConversion"/>
  </si>
  <si>
    <t>60.17W</t>
  </si>
  <si>
    <t>Total</t>
    <phoneticPr fontId="17" type="noConversion"/>
  </si>
  <si>
    <t>Total</t>
    <phoneticPr fontId="17" type="noConversion"/>
  </si>
  <si>
    <t>-</t>
    <phoneticPr fontId="17" type="noConversion"/>
  </si>
  <si>
    <t>Litter</t>
    <phoneticPr fontId="17" type="noConversion"/>
  </si>
  <si>
    <t>Woody debris (&gt;20.5), rotten</t>
    <phoneticPr fontId="17" type="noConversion"/>
  </si>
  <si>
    <t>Woody debris (&gt;20.5), sound</t>
    <phoneticPr fontId="17" type="noConversion"/>
  </si>
  <si>
    <t>Dead woody debris</t>
    <phoneticPr fontId="17" type="noConversion"/>
  </si>
  <si>
    <t>Litter</t>
    <phoneticPr fontId="17" type="noConversion"/>
  </si>
  <si>
    <t>Duff</t>
    <phoneticPr fontId="17" type="noConversion"/>
  </si>
  <si>
    <t>Dead woody debris</t>
    <phoneticPr fontId="17" type="noConversion"/>
  </si>
  <si>
    <t>Asia</t>
    <phoneticPr fontId="17" type="noConversion"/>
  </si>
  <si>
    <t>-</t>
    <phoneticPr fontId="17" type="noConversion"/>
  </si>
  <si>
    <t>-</t>
    <phoneticPr fontId="17" type="noConversion"/>
  </si>
  <si>
    <t>Total</t>
    <phoneticPr fontId="17" type="noConversion"/>
  </si>
  <si>
    <t>Cones</t>
    <phoneticPr fontId="17" type="noConversion"/>
  </si>
  <si>
    <t>Small branches</t>
    <phoneticPr fontId="17" type="noConversion"/>
  </si>
  <si>
    <t>Total loose surface litter</t>
    <phoneticPr fontId="17" type="noConversion"/>
  </si>
  <si>
    <t>Forest floor</t>
    <phoneticPr fontId="17" type="noConversion"/>
  </si>
  <si>
    <t>Total</t>
    <phoneticPr fontId="17" type="noConversion"/>
  </si>
  <si>
    <t>1994-1995</t>
  </si>
  <si>
    <t>9,10</t>
  </si>
  <si>
    <t>Growing Season</t>
  </si>
  <si>
    <t>Lodi Canyon, California</t>
    <phoneticPr fontId="17" type="noConversion"/>
  </si>
  <si>
    <t>Snyder, 1986: The impact of wet season and dry season prescribed fires on Miami Rock Ridge pinelands, Everglades National Park.</t>
    <phoneticPr fontId="17" type="noConversion"/>
  </si>
  <si>
    <t>25.8N</t>
    <phoneticPr fontId="17" type="noConversion"/>
  </si>
  <si>
    <t>Plot 8a</t>
    <phoneticPr fontId="17" type="noConversion"/>
  </si>
  <si>
    <t>Plot 9</t>
    <phoneticPr fontId="17" type="noConversion"/>
  </si>
  <si>
    <t>Total</t>
    <phoneticPr fontId="17" type="noConversion"/>
  </si>
  <si>
    <t>63N</t>
    <phoneticPr fontId="17" type="noConversion"/>
  </si>
  <si>
    <t>100h time lag</t>
    <phoneticPr fontId="17" type="noConversion"/>
  </si>
  <si>
    <t>Dead + down (&lt;7cm)</t>
    <phoneticPr fontId="17" type="noConversion"/>
  </si>
  <si>
    <t>Minor vegetation</t>
    <phoneticPr fontId="17" type="noConversion"/>
  </si>
  <si>
    <t>Different depth classes used in calculation (2.5cm)</t>
    <phoneticPr fontId="17" type="noConversion"/>
  </si>
  <si>
    <t>34.10N</t>
    <phoneticPr fontId="17" type="noConversion"/>
  </si>
  <si>
    <t>117.47W</t>
    <phoneticPr fontId="17" type="noConversion"/>
  </si>
  <si>
    <t>Lodi Canyon, California</t>
    <phoneticPr fontId="17" type="noConversion"/>
  </si>
  <si>
    <t>Boby et al., 2010: Quantifying fire severity, carbon, and nitrogen emissions in Alaska's boreal forest, Ecological apllications, 20(6), 1633-1647</t>
    <phoneticPr fontId="17" type="noConversion"/>
  </si>
  <si>
    <t>65N</t>
    <phoneticPr fontId="17" type="noConversion"/>
  </si>
  <si>
    <t>Vila de Apiau, Roraima</t>
    <phoneticPr fontId="17" type="noConversion"/>
  </si>
  <si>
    <t>Moss, lichens and duff</t>
    <phoneticPr fontId="17" type="noConversion"/>
  </si>
  <si>
    <t>116.34E</t>
  </si>
  <si>
    <t>145.74W</t>
  </si>
  <si>
    <t>Delta Junction</t>
  </si>
  <si>
    <t>LON</t>
    <phoneticPr fontId="17" type="noConversion"/>
  </si>
  <si>
    <t>FL</t>
    <phoneticPr fontId="17" type="noConversion"/>
  </si>
  <si>
    <t>40N</t>
    <phoneticPr fontId="17" type="noConversion"/>
  </si>
  <si>
    <t>2W</t>
    <phoneticPr fontId="17" type="noConversion"/>
  </si>
  <si>
    <t>BIOME</t>
    <phoneticPr fontId="17" type="noConversion"/>
  </si>
  <si>
    <t>FC</t>
    <phoneticPr fontId="17" type="noConversion"/>
  </si>
  <si>
    <t>Medium size trees, leaf</t>
    <phoneticPr fontId="17" type="noConversion"/>
  </si>
  <si>
    <t>Duff (Of + Oh)</t>
    <phoneticPr fontId="17" type="noConversion"/>
  </si>
  <si>
    <t>Dry Burn</t>
  </si>
  <si>
    <t>Campbell et al., 2007: Pyrogenic carbon emission from a large wildfire in Oregon, United States</t>
    <phoneticPr fontId="17" type="noConversion"/>
  </si>
  <si>
    <t>42.40N</t>
    <phoneticPr fontId="17" type="noConversion"/>
  </si>
  <si>
    <t>124.10W</t>
    <phoneticPr fontId="17" type="noConversion"/>
  </si>
  <si>
    <t>Southwest Oregon</t>
    <phoneticPr fontId="17" type="noConversion"/>
  </si>
  <si>
    <t>Aboveground biomass</t>
    <phoneticPr fontId="17" type="noConversion"/>
  </si>
  <si>
    <t>Plot 6: Larch mixed-wood, low fire intensity</t>
    <phoneticPr fontId="17" type="noConversion"/>
  </si>
  <si>
    <t>52.62W</t>
  </si>
  <si>
    <t>Second growth tropical dry forest, slash burn 3</t>
    <phoneticPr fontId="17" type="noConversion"/>
  </si>
  <si>
    <t>Total woody debris</t>
    <phoneticPr fontId="17" type="noConversion"/>
  </si>
  <si>
    <t>Litter, leaves and twigs</t>
    <phoneticPr fontId="17" type="noConversion"/>
  </si>
  <si>
    <t>Moss, lichens and duff</t>
    <phoneticPr fontId="17" type="noConversion"/>
  </si>
  <si>
    <t>Beche et al., 2005: Effects of prescribed fire on a Sierra Nevada (California, USA) stream and its riparian zone, Forest Ecology and Management</t>
    <phoneticPr fontId="17" type="noConversion"/>
  </si>
  <si>
    <t>Nantahala, Western North Carolina</t>
    <phoneticPr fontId="17" type="noConversion"/>
  </si>
  <si>
    <t>Carvalho et al., 2001: Biomass fire consumption and carbon release rates of rainforest-clearing experiments conducted in Northern Mato Grosso, Brazil, Journal of Geophysical Research</t>
    <phoneticPr fontId="17" type="noConversion"/>
  </si>
  <si>
    <t>Logs, 10-30cm</t>
    <phoneticPr fontId="17" type="noConversion"/>
  </si>
  <si>
    <t>1998 - Shrubby, surface</t>
    <phoneticPr fontId="17" type="noConversion"/>
  </si>
  <si>
    <t>1999 (8) - Open, surface</t>
    <phoneticPr fontId="17" type="noConversion"/>
  </si>
  <si>
    <t>Ottmar and Sandberg, 2010: Predicting forest floor consumption from wildland fire in boreal forests of alaska - preliminary results</t>
    <phoneticPr fontId="17" type="noConversion"/>
  </si>
  <si>
    <t>60.49N</t>
  </si>
  <si>
    <t>150.98W</t>
  </si>
  <si>
    <t>Soldotna</t>
    <phoneticPr fontId="17" type="noConversion"/>
  </si>
  <si>
    <t>Grassen and small shrubs</t>
    <phoneticPr fontId="17" type="noConversion"/>
  </si>
  <si>
    <t>Total surface</t>
    <phoneticPr fontId="17" type="noConversion"/>
  </si>
  <si>
    <t>Bor, Krasnoyarsk, Russia</t>
    <phoneticPr fontId="17" type="noConversion"/>
  </si>
  <si>
    <t>Woody surface (&gt;7cm), rotten</t>
    <phoneticPr fontId="17" type="noConversion"/>
  </si>
  <si>
    <t>Understory canopy fuels (0-0.5cm)</t>
    <phoneticPr fontId="17" type="noConversion"/>
  </si>
  <si>
    <t>Crown</t>
  </si>
  <si>
    <t>Plot 7</t>
    <phoneticPr fontId="17" type="noConversion"/>
  </si>
  <si>
    <t>Overstory canopy fuels (0.5-1cm)</t>
    <phoneticPr fontId="17" type="noConversion"/>
  </si>
  <si>
    <t>Small woody fuels</t>
    <phoneticPr fontId="17" type="noConversion"/>
  </si>
  <si>
    <t>Understory canopy fuels (0.5-1cm)</t>
    <phoneticPr fontId="17" type="noConversion"/>
  </si>
  <si>
    <t>Overstory canopy fuels (0-0.5cm)</t>
    <phoneticPr fontId="17" type="noConversion"/>
  </si>
  <si>
    <t>Overstory canopy fuels (0.5-1cm)</t>
    <phoneticPr fontId="17" type="noConversion"/>
  </si>
  <si>
    <t>Palms</t>
    <phoneticPr fontId="17" type="noConversion"/>
  </si>
  <si>
    <t>Total wood</t>
    <phoneticPr fontId="17" type="noConversion"/>
  </si>
  <si>
    <t>Hester, south-west Western Australia</t>
    <phoneticPr fontId="17" type="noConversion"/>
  </si>
  <si>
    <t>80.70W</t>
    <phoneticPr fontId="17" type="noConversion"/>
  </si>
  <si>
    <t>Miami Rock Ridge Park, Florida</t>
    <phoneticPr fontId="17" type="noConversion"/>
  </si>
  <si>
    <t>Mystery Creek 1</t>
    <phoneticPr fontId="17" type="noConversion"/>
  </si>
  <si>
    <t>Large woody fuels</t>
    <phoneticPr fontId="17" type="noConversion"/>
  </si>
  <si>
    <t>Stephens and Finney, 2002: Prescribed fire mortality of Sierra Nevada mixed conifer tree species: effects of crown damage and forest floor combustion, Forest Ecology and Management</t>
    <phoneticPr fontId="17" type="noConversion"/>
  </si>
  <si>
    <t>Sparks et al., 2002: Season of burn influences fire behavior and fuel consumption in restored shortleaf pine-grassland communities, Restoration ecology</t>
    <phoneticPr fontId="17" type="noConversion"/>
  </si>
  <si>
    <t>34.82N</t>
  </si>
  <si>
    <t>94.13W</t>
    <phoneticPr fontId="17" type="noConversion"/>
  </si>
  <si>
    <t>Arnhem Plateau</t>
  </si>
  <si>
    <t>Forest floor (Oi)</t>
    <phoneticPr fontId="17" type="noConversion"/>
  </si>
  <si>
    <t>Fearnside et al., 1993: Rainforest burning and the global carbon budget: Biomass, combustion efficiency, and charcoal formation in the Brazilian Amazon, Journal of geophysical research, 98, D9, 16733-16743.</t>
    <phoneticPr fontId="17" type="noConversion"/>
  </si>
  <si>
    <t>Hughes et al., 2000: Fire in the Brazilian Amazon 3. Dynamics of biomass, C, and nutrient pools in regenerating forests</t>
    <phoneticPr fontId="17" type="noConversion"/>
  </si>
  <si>
    <t>5.35S</t>
  </si>
  <si>
    <t>Djair, Para</t>
    <phoneticPr fontId="17" type="noConversion"/>
  </si>
  <si>
    <t>Carvalho et al., 1995: A tropical rainforest clearing experiment by biomass burning in the Manaus regions, Atmospheric Environment, 29, 17, 2301-2309.</t>
    <phoneticPr fontId="17" type="noConversion"/>
  </si>
  <si>
    <t>2.61S</t>
  </si>
  <si>
    <t>Second-growth forest site</t>
    <phoneticPr fontId="17" type="noConversion"/>
  </si>
  <si>
    <t>Total</t>
    <phoneticPr fontId="17" type="noConversion"/>
  </si>
  <si>
    <t>Sprouts</t>
    <phoneticPr fontId="17" type="noConversion"/>
  </si>
  <si>
    <t>Foliage</t>
    <phoneticPr fontId="17" type="noConversion"/>
  </si>
  <si>
    <t>Fine (&lt;0.6)</t>
    <phoneticPr fontId="17" type="noConversion"/>
  </si>
  <si>
    <t>Woody (&gt;0.6)</t>
    <phoneticPr fontId="17" type="noConversion"/>
  </si>
  <si>
    <t>Fine (&lt;0.6)</t>
    <phoneticPr fontId="17" type="noConversion"/>
  </si>
  <si>
    <t>Reginaldo, Rondonia</t>
    <phoneticPr fontId="17" type="noConversion"/>
  </si>
  <si>
    <t>Old-field longleaf pine (Sullivan et al., 2003), average of range taken (note, given in acres!)</t>
    <phoneticPr fontId="17" type="noConversion"/>
  </si>
  <si>
    <t>Liana</t>
    <phoneticPr fontId="17" type="noConversion"/>
  </si>
  <si>
    <t>Branches &gt;10cm</t>
    <phoneticPr fontId="17" type="noConversion"/>
  </si>
  <si>
    <t>Branches&lt;10cm</t>
    <phoneticPr fontId="17" type="noConversion"/>
  </si>
  <si>
    <t>Small trees&lt;1m</t>
    <phoneticPr fontId="17" type="noConversion"/>
  </si>
  <si>
    <t>Small size trees, leaf</t>
    <phoneticPr fontId="17" type="noConversion"/>
  </si>
  <si>
    <t>Small trees&gt;1m</t>
    <phoneticPr fontId="17" type="noConversion"/>
  </si>
  <si>
    <t>Litter</t>
  </si>
  <si>
    <t>Experimental fire</t>
    <phoneticPr fontId="17" type="noConversion"/>
  </si>
  <si>
    <t>48.87N</t>
  </si>
  <si>
    <t>85.28W</t>
  </si>
  <si>
    <t>Porter Lake, Canada</t>
    <phoneticPr fontId="17" type="noConversion"/>
  </si>
  <si>
    <t>55.07N</t>
  </si>
  <si>
    <t>114.03W</t>
  </si>
  <si>
    <t>Hondo, Canada</t>
    <phoneticPr fontId="17" type="noConversion"/>
  </si>
  <si>
    <t>Chisholm, Canada</t>
    <phoneticPr fontId="17" type="noConversion"/>
  </si>
  <si>
    <t>Hardy et al., 1996: Smoke emissions from prescribed burning in southern California</t>
    <phoneticPr fontId="17" type="noConversion"/>
  </si>
  <si>
    <t>Cofer III et al., 1988: Trace gas emissions from a Mid-latitude prescribed chaparral fire.</t>
    <phoneticPr fontId="17" type="noConversion"/>
  </si>
  <si>
    <t>38.32W</t>
    <phoneticPr fontId="17" type="noConversion"/>
  </si>
  <si>
    <t>Serra Talhada, Penambuco</t>
    <phoneticPr fontId="17" type="noConversion"/>
  </si>
  <si>
    <t>Graca et al., 1999: burning of Amazonian forest in Ariquemes, Rondonia, Brazil: biomass, charcoal formation and burning efficiency.</t>
    <phoneticPr fontId="17" type="noConversion"/>
  </si>
  <si>
    <t>10.16S</t>
  </si>
  <si>
    <t>60.81W</t>
  </si>
  <si>
    <t>Sah et al., 2006: Fuel loads, fire regmies, and post-fire fuel dynamics in Florida keys pine forests</t>
    <phoneticPr fontId="17" type="noConversion"/>
  </si>
  <si>
    <t>24.73N</t>
  </si>
  <si>
    <t>81.40W</t>
  </si>
  <si>
    <t>Fearnside et al., 1999: Tropical forest burning in Brazilian Amazonia: measurement of biomass loading, burning efficiency and charcoal formation in Altamira, Para.</t>
    <phoneticPr fontId="17" type="noConversion"/>
  </si>
  <si>
    <t>3.37S</t>
  </si>
  <si>
    <t>Wood 5-10cm</t>
    <phoneticPr fontId="17" type="noConversion"/>
  </si>
  <si>
    <t>Palm leaves</t>
    <phoneticPr fontId="17" type="noConversion"/>
  </si>
  <si>
    <t>Guild et al., 1998: Dynamics associated with total aboveground biomass, C, nutreint pools, and biomass burning of primary forest and pasture in Rondonia, Brazil during SCAR-B, Journal of geophysical research, 103, D24, 32091-32100.</t>
    <phoneticPr fontId="17" type="noConversion"/>
  </si>
  <si>
    <t>Fazenda Dimona, Manaus, Amazonia</t>
    <phoneticPr fontId="17" type="noConversion"/>
  </si>
  <si>
    <t>Trunks</t>
    <phoneticPr fontId="17" type="noConversion"/>
  </si>
  <si>
    <t>Ward et al., 1992: Smoke and fire characteristics for cerrado and deforestation burns in Brazil: BASE-B experiment, Journal of geophysical research, 97, D13, 14601-14619.</t>
    <phoneticPr fontId="17" type="noConversion"/>
  </si>
  <si>
    <t>4.30S</t>
  </si>
  <si>
    <t>49.03W</t>
  </si>
  <si>
    <t>Palm leaves and palms &lt;10cm</t>
    <phoneticPr fontId="17" type="noConversion"/>
  </si>
  <si>
    <t>Woody debris (2.55-7.62)</t>
    <phoneticPr fontId="17" type="noConversion"/>
  </si>
  <si>
    <t>Woody debris (&gt;7.62)</t>
    <phoneticPr fontId="17" type="noConversion"/>
  </si>
  <si>
    <t>Woody debris (0.65-2.54)</t>
    <phoneticPr fontId="17" type="noConversion"/>
  </si>
  <si>
    <t>Total</t>
    <phoneticPr fontId="17" type="noConversion"/>
  </si>
  <si>
    <t>Woody debris (0-0.64)</t>
    <phoneticPr fontId="17" type="noConversion"/>
  </si>
  <si>
    <t>Logs, &gt;30cm</t>
    <phoneticPr fontId="17" type="noConversion"/>
  </si>
  <si>
    <t>94.13W</t>
  </si>
  <si>
    <t>Woody debris (&gt;20.3)</t>
    <phoneticPr fontId="17" type="noConversion"/>
  </si>
  <si>
    <t>Maraba, Para</t>
    <phoneticPr fontId="17" type="noConversion"/>
  </si>
  <si>
    <t>60.50W</t>
    <phoneticPr fontId="17" type="noConversion"/>
  </si>
  <si>
    <t>Joao, Rondonia</t>
    <phoneticPr fontId="17" type="noConversion"/>
  </si>
  <si>
    <t>Litter/dead grass</t>
    <phoneticPr fontId="17" type="noConversion"/>
  </si>
  <si>
    <t>Durval, Rondonia</t>
    <phoneticPr fontId="17" type="noConversion"/>
  </si>
  <si>
    <t>Second-growth forest: pasture sites, 4 years old</t>
    <phoneticPr fontId="17" type="noConversion"/>
  </si>
  <si>
    <t>Dicots</t>
    <phoneticPr fontId="17" type="noConversion"/>
  </si>
  <si>
    <t>3,4</t>
  </si>
  <si>
    <t>Dormant Season</t>
  </si>
  <si>
    <t>Total woody debris</t>
    <phoneticPr fontId="17" type="noConversion"/>
  </si>
  <si>
    <t>Dawson City, Canada</t>
    <phoneticPr fontId="17" type="noConversion"/>
  </si>
  <si>
    <t>59.40N</t>
  </si>
  <si>
    <t>113.03W</t>
  </si>
  <si>
    <t>Wood Buffalo NP, Canada</t>
    <phoneticPr fontId="17" type="noConversion"/>
  </si>
  <si>
    <t>34.80N</t>
    <phoneticPr fontId="17" type="noConversion"/>
  </si>
  <si>
    <t>82.60W</t>
    <phoneticPr fontId="17" type="noConversion"/>
  </si>
  <si>
    <t>IntermCrown</t>
  </si>
  <si>
    <t>21,23</t>
  </si>
  <si>
    <t>1h</t>
    <phoneticPr fontId="17" type="noConversion"/>
  </si>
  <si>
    <t xml:space="preserve">Two Weeks after </t>
  </si>
  <si>
    <t>10h</t>
    <phoneticPr fontId="17" type="noConversion"/>
  </si>
  <si>
    <t>100h</t>
    <phoneticPr fontId="17" type="noConversion"/>
  </si>
  <si>
    <t>1000h, sound</t>
    <phoneticPr fontId="17" type="noConversion"/>
  </si>
  <si>
    <t>1000h, rotten</t>
    <phoneticPr fontId="17" type="noConversion"/>
  </si>
  <si>
    <t>Woody debris (7.6-20.5), successional sound</t>
    <phoneticPr fontId="17" type="noConversion"/>
  </si>
  <si>
    <t>Woody debris (7.6-20.5), total sound</t>
    <phoneticPr fontId="17" type="noConversion"/>
  </si>
  <si>
    <t>Woody debris (&gt;20.5cm), residual sound</t>
    <phoneticPr fontId="17" type="noConversion"/>
  </si>
  <si>
    <t>Dicot seedlings</t>
    <phoneticPr fontId="17" type="noConversion"/>
  </si>
  <si>
    <t>Woody debris (7.63-20.5), rotten</t>
    <phoneticPr fontId="17" type="noConversion"/>
  </si>
  <si>
    <t>Ward et al., 1992: Smoke and fire characteristics for cerrado and deforestation burns in Brazil: BASE-B experiment, Journal of geophysical research, 97, D13, 14601-14619.</t>
    <phoneticPr fontId="17" type="noConversion"/>
  </si>
  <si>
    <t>43.22S</t>
  </si>
  <si>
    <t>146.54E</t>
  </si>
  <si>
    <t>Litter (Ol)</t>
    <phoneticPr fontId="17" type="noConversion"/>
  </si>
  <si>
    <t>79.10W</t>
    <phoneticPr fontId="17" type="noConversion"/>
  </si>
  <si>
    <t>-</t>
    <phoneticPr fontId="17" type="noConversion"/>
  </si>
  <si>
    <t>-</t>
    <phoneticPr fontId="17" type="noConversion"/>
  </si>
  <si>
    <t>Litter</t>
    <phoneticPr fontId="17" type="noConversion"/>
  </si>
  <si>
    <t>130.52E</t>
    <phoneticPr fontId="17" type="noConversion"/>
  </si>
  <si>
    <t>Woody debris (&gt;20.5cm), residual sound</t>
    <phoneticPr fontId="17" type="noConversion"/>
  </si>
  <si>
    <t>Woody debris (&gt;20.5cm), residual rotten</t>
    <phoneticPr fontId="17" type="noConversion"/>
  </si>
  <si>
    <t xml:space="preserve">Total </t>
    <phoneticPr fontId="17" type="noConversion"/>
  </si>
  <si>
    <t>Jose, Para</t>
    <phoneticPr fontId="17" type="noConversion"/>
  </si>
  <si>
    <t>Third-growth forest</t>
    <phoneticPr fontId="17" type="noConversion"/>
  </si>
  <si>
    <t>Woody debris (&lt;0.64cm)</t>
    <phoneticPr fontId="17" type="noConversion"/>
  </si>
  <si>
    <t>Woody debris (2.55-7.6cm)</t>
    <phoneticPr fontId="17" type="noConversion"/>
  </si>
  <si>
    <t>27,9</t>
  </si>
  <si>
    <t>Primary forest clearing fire (4ha)</t>
    <phoneticPr fontId="17" type="noConversion"/>
  </si>
  <si>
    <t>Fazenda Caiabi, Alta Floresta, Mato Grosso</t>
    <phoneticPr fontId="17" type="noConversion"/>
  </si>
  <si>
    <t>8, 9</t>
  </si>
  <si>
    <t>Hughes et al., 2000: Ecosystem-scale impacts of deforestation and land use in a humid tropical region of Mexico.</t>
    <phoneticPr fontId="17" type="noConversion"/>
  </si>
  <si>
    <t>18.35N</t>
    <phoneticPr fontId="17" type="noConversion"/>
  </si>
  <si>
    <t>INPA forest reserve, Manaus, Amazonas</t>
    <phoneticPr fontId="17" type="noConversion"/>
  </si>
  <si>
    <t>South America</t>
    <phoneticPr fontId="17" type="noConversion"/>
  </si>
  <si>
    <t>Trunks &gt;30cm</t>
    <phoneticPr fontId="17" type="noConversion"/>
  </si>
  <si>
    <t>Tropical dense rainforest</t>
    <phoneticPr fontId="17" type="noConversion"/>
  </si>
  <si>
    <t>Central America</t>
    <phoneticPr fontId="17" type="noConversion"/>
  </si>
  <si>
    <t>Woody debris (0-0.64cm)</t>
    <phoneticPr fontId="17" type="noConversion"/>
  </si>
  <si>
    <t>Large size trees, thick branch</t>
    <phoneticPr fontId="17" type="noConversion"/>
  </si>
  <si>
    <t>Hollis et al., 2010: Testing woody fuel consumption models for application in Australian southern eucalypt forest fires, Forest ecology and Management</t>
    <phoneticPr fontId="17" type="noConversion"/>
  </si>
  <si>
    <t>33.68S</t>
  </si>
  <si>
    <t>116.25E</t>
  </si>
  <si>
    <t>Wilga, south-west Western Australia</t>
    <phoneticPr fontId="17" type="noConversion"/>
  </si>
  <si>
    <t>Australia</t>
  </si>
  <si>
    <t>Small size trees, fallen trunk</t>
    <phoneticPr fontId="17" type="noConversion"/>
  </si>
  <si>
    <t>Benscoter and Wieder, 2003: Variability in organic matter lost by combustion in a boreal bog during the 2001 Chrisholm fire, Canadian journal of Forest Research</t>
    <phoneticPr fontId="17" type="noConversion"/>
  </si>
  <si>
    <t>54.93N</t>
  </si>
  <si>
    <t>114.17W</t>
  </si>
  <si>
    <t>Kauffman et al., 1993: Biomass and nutrient dynamics associated with slash fires in neotropical dry forests</t>
    <phoneticPr fontId="17" type="noConversion"/>
  </si>
  <si>
    <t>7.98S</t>
    <phoneticPr fontId="17" type="noConversion"/>
  </si>
  <si>
    <t>Carvalho et al., 2001: Biomass fire consumption and carbon release rates of rainforest-clearing experiments conducted in Northern Mato Grosso, Brazil, Journal of Geophysical Research</t>
    <phoneticPr fontId="17" type="noConversion"/>
  </si>
  <si>
    <t>9.52S</t>
  </si>
  <si>
    <t>56.06W</t>
  </si>
  <si>
    <t>95.05W</t>
    <phoneticPr fontId="17" type="noConversion"/>
  </si>
  <si>
    <t>Barbosa and Fearnside, 1996: Pasture burning in Amazonia: dynamics of residual biomass and the storage and release of aboveground carbon, Journal of geophysical research - atmospheres, 101, D20, 25847-25857.</t>
    <phoneticPr fontId="17" type="noConversion"/>
  </si>
  <si>
    <t>Quillben, south-west Western Australia</t>
    <phoneticPr fontId="17" type="noConversion"/>
  </si>
  <si>
    <t>Rotten wood &gt;10cm</t>
    <phoneticPr fontId="17" type="noConversion"/>
  </si>
  <si>
    <t>Dicot seedlings</t>
    <phoneticPr fontId="17" type="noConversion"/>
  </si>
  <si>
    <t>Vines &lt;5cm</t>
    <phoneticPr fontId="17" type="noConversion"/>
  </si>
  <si>
    <t>Vines 5-10cm</t>
    <phoneticPr fontId="17" type="noConversion"/>
  </si>
  <si>
    <t>Plot 8: Larch mixed-wood, low fire intensity</t>
    <phoneticPr fontId="17" type="noConversion"/>
  </si>
  <si>
    <t>Palms &lt;10cm</t>
    <phoneticPr fontId="17" type="noConversion"/>
  </si>
  <si>
    <t>Palms &gt;10cm</t>
    <phoneticPr fontId="17" type="noConversion"/>
  </si>
  <si>
    <t>Caiabi farm, Alta Floresta, Mato Grosso</t>
    <phoneticPr fontId="17" type="noConversion"/>
  </si>
  <si>
    <t>Logs, 10-30cm</t>
    <phoneticPr fontId="17" type="noConversion"/>
  </si>
  <si>
    <t>Logs, &gt;30cm</t>
    <phoneticPr fontId="17" type="noConversion"/>
  </si>
  <si>
    <t>Branches, &lt;10cm</t>
    <phoneticPr fontId="17" type="noConversion"/>
  </si>
  <si>
    <t>Sergipe, Rondonia</t>
    <phoneticPr fontId="17" type="noConversion"/>
  </si>
  <si>
    <t>Alcides, Rondonia</t>
    <phoneticPr fontId="17" type="noConversion"/>
  </si>
  <si>
    <t>Woody debris (&gt;20.5),sound</t>
    <phoneticPr fontId="17" type="noConversion"/>
  </si>
  <si>
    <t>-</t>
    <phoneticPr fontId="17" type="noConversion"/>
  </si>
  <si>
    <t>Logs, &gt;30cm</t>
    <phoneticPr fontId="17" type="noConversion"/>
  </si>
  <si>
    <t>25.15S</t>
  </si>
  <si>
    <t>31.14E</t>
  </si>
  <si>
    <t>Serra Talhada, Penambuco</t>
    <phoneticPr fontId="17" type="noConversion"/>
  </si>
  <si>
    <t>Second growth tropical dry forest, slash burn 2</t>
    <phoneticPr fontId="17" type="noConversion"/>
  </si>
  <si>
    <t>Foliage</t>
    <phoneticPr fontId="17" type="noConversion"/>
  </si>
  <si>
    <t>Woody debris (&gt;20.5cm), residual rotten</t>
    <phoneticPr fontId="17" type="noConversion"/>
  </si>
  <si>
    <t>Palms</t>
    <phoneticPr fontId="17" type="noConversion"/>
  </si>
  <si>
    <t>Vines&lt;5cm</t>
    <phoneticPr fontId="17" type="noConversion"/>
  </si>
  <si>
    <t>Vines &gt;10cm</t>
    <phoneticPr fontId="17" type="noConversion"/>
  </si>
  <si>
    <t>Mixed leaf litter</t>
    <phoneticPr fontId="17" type="noConversion"/>
  </si>
  <si>
    <t>Moist Miombo Woodland</t>
  </si>
  <si>
    <t>Grass-dormant</t>
    <phoneticPr fontId="17" type="noConversion"/>
  </si>
  <si>
    <t>Total grass</t>
    <phoneticPr fontId="17" type="noConversion"/>
  </si>
  <si>
    <t>Woody debris (0.64-2.54)</t>
    <phoneticPr fontId="17" type="noConversion"/>
  </si>
  <si>
    <t>1995-1996</t>
  </si>
  <si>
    <t>Woody debris (2.54-7.6)</t>
    <phoneticPr fontId="17" type="noConversion"/>
  </si>
  <si>
    <t>Woody debris (7.6-20.3)</t>
    <phoneticPr fontId="17" type="noConversion"/>
  </si>
  <si>
    <t>South America</t>
  </si>
  <si>
    <t>Attached foliage</t>
    <phoneticPr fontId="17" type="noConversion"/>
  </si>
  <si>
    <t>Primary forest slashed for shifting agriculture</t>
    <phoneticPr fontId="17" type="noConversion"/>
  </si>
  <si>
    <t>38.90N</t>
  </si>
  <si>
    <t>120.67W</t>
  </si>
  <si>
    <t>Dark Canyon Creek, California</t>
    <phoneticPr fontId="17" type="noConversion"/>
  </si>
  <si>
    <t>60.09W</t>
  </si>
  <si>
    <t>33.91S</t>
  </si>
  <si>
    <t>116.16E</t>
  </si>
  <si>
    <t>Woody debris (&gt;20.5), rotten</t>
    <phoneticPr fontId="17" type="noConversion"/>
  </si>
  <si>
    <t>Palm</t>
    <phoneticPr fontId="17" type="noConversion"/>
  </si>
  <si>
    <t>Dicots</t>
    <phoneticPr fontId="17" type="noConversion"/>
  </si>
  <si>
    <t>1993/1995</t>
    <phoneticPr fontId="17" type="noConversion"/>
  </si>
  <si>
    <t>9.20S</t>
  </si>
  <si>
    <t>Kauffman et al., 1998: Fire in the Brazilian Amazon 2. Biomass, nutreint pools and losses in cattle pastures</t>
    <phoneticPr fontId="17" type="noConversion"/>
  </si>
  <si>
    <t>33.56N</t>
  </si>
  <si>
    <t>81.70W</t>
  </si>
  <si>
    <t>2.29S</t>
  </si>
  <si>
    <t>Trunks (&gt;30cm)</t>
    <phoneticPr fontId="17" type="noConversion"/>
  </si>
  <si>
    <t>Terra firma, humid tropical dense forest</t>
    <phoneticPr fontId="17" type="noConversion"/>
  </si>
  <si>
    <t>9.17S</t>
  </si>
  <si>
    <t>63.18W</t>
  </si>
  <si>
    <t>Hester, south-west Western Australia</t>
    <phoneticPr fontId="17" type="noConversion"/>
  </si>
  <si>
    <t>37.09S</t>
  </si>
  <si>
    <t>145.08E</t>
  </si>
  <si>
    <t>Tallarook, Victoria</t>
    <phoneticPr fontId="17" type="noConversion"/>
  </si>
  <si>
    <t>2008-2009</t>
  </si>
  <si>
    <t>33.93S</t>
  </si>
  <si>
    <t>115.46E</t>
  </si>
  <si>
    <t>Total biomass</t>
    <phoneticPr fontId="17" type="noConversion"/>
  </si>
  <si>
    <t>100hr (2.5-7.6)</t>
    <phoneticPr fontId="17" type="noConversion"/>
  </si>
  <si>
    <t>12.38S</t>
    <phoneticPr fontId="17" type="noConversion"/>
  </si>
  <si>
    <t>133.55E</t>
    <phoneticPr fontId="17" type="noConversion"/>
  </si>
  <si>
    <t>Palm</t>
    <phoneticPr fontId="17" type="noConversion"/>
  </si>
  <si>
    <t>-</t>
    <phoneticPr fontId="17" type="noConversion"/>
  </si>
  <si>
    <t>-</t>
    <phoneticPr fontId="17" type="noConversion"/>
  </si>
  <si>
    <t>Total biomass</t>
    <phoneticPr fontId="17" type="noConversion"/>
  </si>
  <si>
    <t>Tropical dry forest, low severity (Baja)</t>
    <phoneticPr fontId="17" type="noConversion"/>
  </si>
  <si>
    <t>Total fine fuels</t>
    <phoneticPr fontId="17" type="noConversion"/>
  </si>
  <si>
    <t>Woody debris (0-0.64)</t>
    <phoneticPr fontId="17" type="noConversion"/>
  </si>
  <si>
    <t>McCorkhill, Western Australia (Project Aquarius)</t>
    <phoneticPr fontId="17" type="noConversion"/>
  </si>
  <si>
    <t>Russell-Smith et al., 2004</t>
    <phoneticPr fontId="17" type="noConversion"/>
  </si>
  <si>
    <t>Darwin Region</t>
  </si>
  <si>
    <t>Woody debris (&lt;0.64cm)</t>
    <phoneticPr fontId="17" type="noConversion"/>
  </si>
  <si>
    <t>Woody debris (2.55-7.6cm)</t>
    <phoneticPr fontId="17" type="noConversion"/>
  </si>
  <si>
    <t>Woody debris (7.63-20.5),total</t>
    <phoneticPr fontId="17" type="noConversion"/>
  </si>
  <si>
    <t>9.97S</t>
  </si>
  <si>
    <t>56.34W</t>
  </si>
  <si>
    <t>Tropical Dry Forest: Middle slope</t>
    <phoneticPr fontId="17" type="noConversion"/>
  </si>
  <si>
    <t>Tropical Dry Forest: Lower slope</t>
    <phoneticPr fontId="17" type="noConversion"/>
  </si>
  <si>
    <t>Pasture: El Cielo (1year)</t>
    <phoneticPr fontId="17" type="noConversion"/>
  </si>
  <si>
    <t>Pasture: El Cielo (2year)</t>
    <phoneticPr fontId="17" type="noConversion"/>
  </si>
  <si>
    <t>Pasture: La Vista (4year)</t>
    <phoneticPr fontId="17" type="noConversion"/>
  </si>
  <si>
    <t>Total</t>
    <phoneticPr fontId="17" type="noConversion"/>
  </si>
  <si>
    <t>Total</t>
    <phoneticPr fontId="17" type="noConversion"/>
  </si>
  <si>
    <t>Woody debris (&gt;20.5cm), residual sound</t>
    <phoneticPr fontId="17" type="noConversion"/>
  </si>
  <si>
    <t>Palm trunks (&gt;10cm)</t>
    <phoneticPr fontId="17" type="noConversion"/>
  </si>
  <si>
    <t>Standing trees</t>
    <phoneticPr fontId="17" type="noConversion"/>
  </si>
  <si>
    <t>Other</t>
    <phoneticPr fontId="17" type="noConversion"/>
  </si>
  <si>
    <t>Woody debris (&gt;20.5),sound</t>
    <phoneticPr fontId="17" type="noConversion"/>
  </si>
  <si>
    <t>Woody debris (&gt;20.5),rotten</t>
    <phoneticPr fontId="17" type="noConversion"/>
  </si>
  <si>
    <t>Total</t>
    <phoneticPr fontId="17" type="noConversion"/>
  </si>
  <si>
    <t>Trunks &lt;30cm</t>
    <phoneticPr fontId="17" type="noConversion"/>
  </si>
  <si>
    <t>Forest floor (Oi)</t>
    <phoneticPr fontId="17" type="noConversion"/>
  </si>
  <si>
    <t>Woody debris (&gt;20.5),total</t>
    <phoneticPr fontId="17" type="noConversion"/>
  </si>
  <si>
    <t>Stumps</t>
    <phoneticPr fontId="17" type="noConversion"/>
  </si>
  <si>
    <t>Pasture, low severity (Baja)</t>
    <phoneticPr fontId="17" type="noConversion"/>
  </si>
  <si>
    <t>Attached foliage</t>
    <phoneticPr fontId="17" type="noConversion"/>
  </si>
  <si>
    <t>200 ha clearing for pasture</t>
    <phoneticPr fontId="17" type="noConversion"/>
  </si>
  <si>
    <t>Branches</t>
    <phoneticPr fontId="17" type="noConversion"/>
  </si>
  <si>
    <t>Medium size trees, trunk</t>
    <phoneticPr fontId="17" type="noConversion"/>
  </si>
  <si>
    <t>Woody (&gt;0.6)</t>
    <phoneticPr fontId="17" type="noConversion"/>
  </si>
  <si>
    <t>34.20S</t>
  </si>
  <si>
    <t>Plot 9: Larch mixed-wood, moderate fire intensity</t>
    <phoneticPr fontId="17" type="noConversion"/>
  </si>
  <si>
    <t>Down woody fuels</t>
    <phoneticPr fontId="17" type="noConversion"/>
  </si>
  <si>
    <t>Francisco, Para</t>
    <phoneticPr fontId="17" type="noConversion"/>
  </si>
  <si>
    <t>Litter/dead grass</t>
    <phoneticPr fontId="17" type="noConversion"/>
  </si>
  <si>
    <t>Vines&gt;10cm</t>
    <phoneticPr fontId="17" type="noConversion"/>
  </si>
  <si>
    <t>Kapalga Research Station, Kakdu National Park</t>
    <phoneticPr fontId="17" type="noConversion"/>
  </si>
  <si>
    <t>Pasture, high severity (Alta)</t>
    <phoneticPr fontId="17" type="noConversion"/>
  </si>
  <si>
    <t>Total fine fuels</t>
    <phoneticPr fontId="17" type="noConversion"/>
  </si>
  <si>
    <t>Woody debris (0-0.64)</t>
    <phoneticPr fontId="17" type="noConversion"/>
  </si>
  <si>
    <t>Woody debris (0.65-2.54)</t>
    <phoneticPr fontId="17" type="noConversion"/>
  </si>
  <si>
    <t>Woody debris (7.63-20.5),sound</t>
    <phoneticPr fontId="17" type="noConversion"/>
  </si>
  <si>
    <t>Medium size trees, thin branch</t>
    <phoneticPr fontId="17" type="noConversion"/>
  </si>
  <si>
    <t>Medium size trees, thick branch</t>
    <phoneticPr fontId="17" type="noConversion"/>
  </si>
  <si>
    <t>Medium size trees, fallen trunk</t>
    <phoneticPr fontId="17" type="noConversion"/>
  </si>
  <si>
    <t>Large size trees, trunk</t>
    <phoneticPr fontId="17" type="noConversion"/>
  </si>
  <si>
    <t>Large size trees, leaf</t>
    <phoneticPr fontId="17" type="noConversion"/>
  </si>
  <si>
    <t>Fazenda Nova Vida, Ariguemes, Rondonia</t>
    <phoneticPr fontId="17" type="noConversion"/>
  </si>
  <si>
    <t>Wood &lt;5cm</t>
    <phoneticPr fontId="17" type="noConversion"/>
  </si>
  <si>
    <t>Open tropical forest</t>
    <phoneticPr fontId="17" type="noConversion"/>
  </si>
  <si>
    <t>49.15W</t>
  </si>
  <si>
    <t>2.54N</t>
  </si>
  <si>
    <t>61.28W</t>
  </si>
  <si>
    <t>Carvalho et al., 2001: Biomass fire consumption and carbon release rates of rainforest-clearing experiments conducted in Northern Mato Grosso, Brazil, Journal of Geophysical Research</t>
    <phoneticPr fontId="17" type="noConversion"/>
  </si>
  <si>
    <t>Branches, &gt;10cm</t>
    <phoneticPr fontId="17" type="noConversion"/>
  </si>
  <si>
    <t>Total</t>
    <phoneticPr fontId="17" type="noConversion"/>
  </si>
  <si>
    <t>Woody debris (0.65-2.54cm)</t>
    <phoneticPr fontId="17" type="noConversion"/>
  </si>
  <si>
    <t>Attached foliage</t>
    <phoneticPr fontId="17" type="noConversion"/>
  </si>
  <si>
    <t>Palms</t>
    <phoneticPr fontId="17" type="noConversion"/>
  </si>
  <si>
    <t>Dicots</t>
    <phoneticPr fontId="17" type="noConversion"/>
  </si>
  <si>
    <t>Woody debris (&gt;20.5), rotten</t>
    <phoneticPr fontId="17" type="noConversion"/>
  </si>
  <si>
    <t>15-yr old second-regrowth forest</t>
    <phoneticPr fontId="17" type="noConversion"/>
  </si>
  <si>
    <t>Woody debris (&gt;20.5), sound</t>
    <phoneticPr fontId="17" type="noConversion"/>
  </si>
  <si>
    <t>Feliz Natal, Mato Grosso</t>
    <phoneticPr fontId="17" type="noConversion"/>
  </si>
  <si>
    <t>Wood &lt;5cm</t>
    <phoneticPr fontId="17" type="noConversion"/>
  </si>
  <si>
    <t>Second-growth forest: pasture sites, older</t>
    <phoneticPr fontId="17" type="noConversion"/>
  </si>
  <si>
    <t>Wood 5-10cm</t>
    <phoneticPr fontId="17" type="noConversion"/>
  </si>
  <si>
    <t>Litter-leaves</t>
    <phoneticPr fontId="17" type="noConversion"/>
  </si>
  <si>
    <t>Wood &gt;70</t>
    <phoneticPr fontId="17" type="noConversion"/>
  </si>
  <si>
    <t>Branch material, &lt;10cm</t>
    <phoneticPr fontId="17" type="noConversion"/>
  </si>
  <si>
    <t>Tree/shrub leaves</t>
    <phoneticPr fontId="17" type="noConversion"/>
  </si>
  <si>
    <t>Kauffman et al., 2003: Biomass dynamics associated with deforestation, fire, and conversion to cattle pasture in Mexican tropical dry forest</t>
    <phoneticPr fontId="17" type="noConversion"/>
  </si>
  <si>
    <t>19.30N</t>
    <phoneticPr fontId="17" type="noConversion"/>
  </si>
  <si>
    <t>Woody debris (0.65-2.54)</t>
    <phoneticPr fontId="17" type="noConversion"/>
  </si>
  <si>
    <t>Woody debris (7.6-20.5), residual sound</t>
    <phoneticPr fontId="17" type="noConversion"/>
  </si>
  <si>
    <t>Woody debris (7.63-20.5), rotten</t>
    <phoneticPr fontId="17" type="noConversion"/>
  </si>
  <si>
    <t>Fearnside et al., 2001: Burning of Amazonian rainforest: burning efficiency and charcoal formation in forest cleared for cattle pasture near Manaus, Brazil, Forest Ecology and Management, 146, 115-128</t>
    <phoneticPr fontId="17" type="noConversion"/>
  </si>
  <si>
    <t>2.34S</t>
  </si>
  <si>
    <t>Wood &lt;5cm</t>
    <phoneticPr fontId="17" type="noConversion"/>
  </si>
  <si>
    <t>Palms &gt;10cm</t>
    <phoneticPr fontId="17" type="noConversion"/>
  </si>
  <si>
    <t>Grass dormant</t>
    <phoneticPr fontId="17" type="noConversion"/>
  </si>
  <si>
    <t>Shrub leaves</t>
    <phoneticPr fontId="17" type="noConversion"/>
  </si>
  <si>
    <t>Prasad et al., 2001: Biomass and combustion characteristics of secondary mixed deciduous forests in Eastern Ghats of India, Atmospheric Environment 35, 3085-3095.</t>
    <phoneticPr fontId="17" type="noConversion"/>
  </si>
  <si>
    <t>Kudura</t>
  </si>
  <si>
    <t>Branch material, &lt;10cm</t>
    <phoneticPr fontId="17" type="noConversion"/>
  </si>
  <si>
    <t>Wood 10-25</t>
    <phoneticPr fontId="17" type="noConversion"/>
  </si>
  <si>
    <t>Wood 26-40</t>
    <phoneticPr fontId="17" type="noConversion"/>
  </si>
  <si>
    <t>Jamari, Rondonia</t>
    <phoneticPr fontId="17" type="noConversion"/>
  </si>
  <si>
    <t>Pasture</t>
  </si>
  <si>
    <t>Dead grass</t>
    <phoneticPr fontId="17" type="noConversion"/>
  </si>
  <si>
    <t>Rootmat</t>
    <phoneticPr fontId="17" type="noConversion"/>
  </si>
  <si>
    <t>Primary Forest Slash, Sergipe</t>
    <phoneticPr fontId="17" type="noConversion"/>
  </si>
  <si>
    <t>Rootmat</t>
    <phoneticPr fontId="17" type="noConversion"/>
  </si>
  <si>
    <t>Slashed second-growth forest site</t>
    <phoneticPr fontId="17" type="noConversion"/>
  </si>
  <si>
    <t>Attached foliage</t>
    <phoneticPr fontId="17" type="noConversion"/>
  </si>
  <si>
    <t>Woody debris (0.65-2.54cm)</t>
    <phoneticPr fontId="17" type="noConversion"/>
  </si>
  <si>
    <t>Ejido San Mateo, Jalisco, Mexico</t>
    <phoneticPr fontId="17" type="noConversion"/>
  </si>
  <si>
    <t>9,10</t>
    <phoneticPr fontId="17" type="noConversion"/>
  </si>
  <si>
    <t>Woody debris (7.63-20.5),rotten</t>
    <phoneticPr fontId="17" type="noConversion"/>
  </si>
  <si>
    <t>Yokelson et al., 2007: Emissions from forest fires near Mexico city</t>
    <phoneticPr fontId="17" type="noConversion"/>
  </si>
  <si>
    <t>19.50N</t>
    <phoneticPr fontId="17" type="noConversion"/>
  </si>
  <si>
    <t>99.50W</t>
    <phoneticPr fontId="17" type="noConversion"/>
  </si>
  <si>
    <t>Mexico City</t>
    <phoneticPr fontId="17" type="noConversion"/>
  </si>
  <si>
    <t>Grass dormant</t>
    <phoneticPr fontId="17" type="noConversion"/>
  </si>
  <si>
    <t>Large size trees, fallen trunk</t>
    <phoneticPr fontId="17" type="noConversion"/>
  </si>
  <si>
    <t>Small trees</t>
    <phoneticPr fontId="17" type="noConversion"/>
  </si>
  <si>
    <t>Trunks (&lt;30cm)</t>
    <phoneticPr fontId="17" type="noConversion"/>
  </si>
  <si>
    <t>-</t>
    <phoneticPr fontId="17" type="noConversion"/>
  </si>
  <si>
    <t>Branches &gt;10cm</t>
    <phoneticPr fontId="17" type="noConversion"/>
  </si>
  <si>
    <t>Branches &lt;10cm</t>
    <phoneticPr fontId="17" type="noConversion"/>
  </si>
  <si>
    <t>M2 &gt;1m, DBH &lt;5cm</t>
    <phoneticPr fontId="17" type="noConversion"/>
  </si>
  <si>
    <t>M1, &lt;1m</t>
    <phoneticPr fontId="17" type="noConversion"/>
  </si>
  <si>
    <t>Caiabi farm, Alta Floresta, Mato Grosso</t>
    <phoneticPr fontId="17" type="noConversion"/>
  </si>
  <si>
    <t>Logs, 10-30cm</t>
    <phoneticPr fontId="17" type="noConversion"/>
  </si>
  <si>
    <t>Logs, &gt;30cm</t>
    <phoneticPr fontId="17" type="noConversion"/>
  </si>
  <si>
    <t>Branches, &gt;10cm</t>
    <phoneticPr fontId="17" type="noConversion"/>
  </si>
  <si>
    <t>Branches, &lt;10cm</t>
    <phoneticPr fontId="17" type="noConversion"/>
  </si>
  <si>
    <t>Kambeni 3: Lowveld Sour Bushveld savanna, Early Spring Biennial Burning Plot</t>
  </si>
  <si>
    <t>Woody debris (&gt;7.62cm)</t>
    <phoneticPr fontId="17" type="noConversion"/>
  </si>
  <si>
    <t>Prasad et al., 2000: Nox emissions from biomass burning of shifting cultivation areas from tropical deciduous forests of India - estimates from ground-based measurements</t>
    <phoneticPr fontId="17" type="noConversion"/>
  </si>
  <si>
    <t>17.59N</t>
  </si>
  <si>
    <t>81.55E</t>
  </si>
  <si>
    <t>Block 56: Lowveld Sour Bushveld savanna, Distinct burning frequency. Last burn in 1990</t>
  </si>
  <si>
    <t>Branches, &lt;10cm</t>
    <phoneticPr fontId="17" type="noConversion"/>
  </si>
  <si>
    <t>Leaves</t>
    <phoneticPr fontId="17" type="noConversion"/>
  </si>
  <si>
    <t>Litter</t>
    <phoneticPr fontId="17" type="noConversion"/>
  </si>
  <si>
    <t>Kauffman et al., 1998: Fire in the Brazilian Amazon 2. Biomass, nutreint pools and losses in cattle pastures</t>
    <phoneticPr fontId="17" type="noConversion"/>
  </si>
  <si>
    <t>Large size trees, thin branch</t>
    <phoneticPr fontId="17" type="noConversion"/>
  </si>
  <si>
    <t>Wood&lt;5cm</t>
    <phoneticPr fontId="17" type="noConversion"/>
  </si>
  <si>
    <t>5.30S</t>
  </si>
  <si>
    <t>Stumps</t>
    <phoneticPr fontId="17" type="noConversion"/>
  </si>
  <si>
    <t>Total</t>
    <phoneticPr fontId="17" type="noConversion"/>
  </si>
  <si>
    <t>Leaves</t>
    <phoneticPr fontId="17" type="noConversion"/>
  </si>
  <si>
    <t>Litter</t>
    <phoneticPr fontId="17" type="noConversion"/>
  </si>
  <si>
    <t>Total</t>
    <phoneticPr fontId="17" type="noConversion"/>
  </si>
  <si>
    <t>Altamira, Para</t>
    <phoneticPr fontId="17" type="noConversion"/>
  </si>
  <si>
    <t>Jalisco, Mexico</t>
    <phoneticPr fontId="17" type="noConversion"/>
  </si>
  <si>
    <t>Woody debris (0.64-2.54)</t>
    <phoneticPr fontId="17" type="noConversion"/>
  </si>
  <si>
    <t>-</t>
    <phoneticPr fontId="17" type="noConversion"/>
  </si>
  <si>
    <t>Open woodland</t>
    <phoneticPr fontId="17" type="noConversion"/>
  </si>
  <si>
    <t>Woody debris (7.63-20.5),rotten</t>
    <phoneticPr fontId="17" type="noConversion"/>
  </si>
  <si>
    <t>Woody debris (7.63-20.5),total</t>
    <phoneticPr fontId="17" type="noConversion"/>
  </si>
  <si>
    <t>Stromgaard, 1985: Biomass, growth, and burning of woodland in a shifting cultivation area of south central america</t>
  </si>
  <si>
    <t>10.53S</t>
  </si>
  <si>
    <t>1980-1981</t>
  </si>
  <si>
    <t>Africa</t>
  </si>
  <si>
    <t>Jalisco, Mexico</t>
    <phoneticPr fontId="17" type="noConversion"/>
  </si>
  <si>
    <t>Block 55: Lowveld Sour Bushveld savanna, Distinct burning frequency. Last burn in 1988</t>
  </si>
  <si>
    <t>Woody debris (7.6-20.5), residual sound</t>
    <phoneticPr fontId="17" type="noConversion"/>
  </si>
  <si>
    <t>1993/1995</t>
    <phoneticPr fontId="17" type="noConversion"/>
  </si>
  <si>
    <t>-</t>
    <phoneticPr fontId="17" type="noConversion"/>
  </si>
  <si>
    <t>Tropical Dry Forest: Ridgeline</t>
    <phoneticPr fontId="17" type="noConversion"/>
  </si>
  <si>
    <t>Campo Sujo: Dirty field (grassland), Total biomass includes ground cover + arborous; tree biomass estimated using regression of Brown et al., 1989</t>
    <phoneticPr fontId="17" type="noConversion"/>
  </si>
  <si>
    <t>Carvalho Jr. et al. (to be submitted to Atmospheric Environment)</t>
    <phoneticPr fontId="17" type="noConversion"/>
  </si>
  <si>
    <t>7.9S</t>
    <phoneticPr fontId="17" type="noConversion"/>
  </si>
  <si>
    <t>72.44W</t>
    <phoneticPr fontId="17" type="noConversion"/>
  </si>
  <si>
    <t>Cruzeiro do Sul, Acre, Mato Grosso</t>
    <phoneticPr fontId="17" type="noConversion"/>
  </si>
  <si>
    <t>Logs, 10-30cm</t>
    <phoneticPr fontId="17" type="noConversion"/>
  </si>
  <si>
    <t>4 ha clearing, forest inventory in central hectare</t>
    <phoneticPr fontId="17" type="noConversion"/>
  </si>
  <si>
    <t>Fine material</t>
    <phoneticPr fontId="17" type="noConversion"/>
  </si>
  <si>
    <t>Wood 56-70</t>
    <phoneticPr fontId="17" type="noConversion"/>
  </si>
  <si>
    <t>Campo Limpo, Individuals &gt; 2m in height not counted</t>
    <phoneticPr fontId="17" type="noConversion"/>
  </si>
  <si>
    <t>Fallow Chitemene</t>
  </si>
  <si>
    <t>Grass-green</t>
    <phoneticPr fontId="17" type="noConversion"/>
  </si>
  <si>
    <t>Kambeni E: Lowveld Sour Bushveld savanna, Distinct burning frequency. Last burn in 1954</t>
  </si>
  <si>
    <t>12.35S</t>
  </si>
  <si>
    <t>30.21E</t>
  </si>
  <si>
    <t>Kasanka National Park, Zambia</t>
  </si>
  <si>
    <t>Dambo grassland</t>
  </si>
  <si>
    <t>15,16</t>
    <phoneticPr fontId="17" type="noConversion"/>
  </si>
  <si>
    <t>Shifting cultivation areas of tropical dry deciduous forests</t>
    <phoneticPr fontId="17" type="noConversion"/>
  </si>
  <si>
    <t>Velegapalli</t>
  </si>
  <si>
    <t>Woody debris (7.6-20.5), successional sound</t>
    <phoneticPr fontId="17" type="noConversion"/>
  </si>
  <si>
    <t>Woody debris (7.6-20.5), total sound</t>
    <phoneticPr fontId="17" type="noConversion"/>
  </si>
  <si>
    <t>105.3W</t>
    <phoneticPr fontId="17" type="noConversion"/>
  </si>
  <si>
    <t>Carvalho et al., 1998: Combustion completeness in a rainforest clearing experiment in Manaus, Brazil, Journal of geophysical research</t>
    <phoneticPr fontId="17" type="noConversion"/>
  </si>
  <si>
    <t>Manaus</t>
  </si>
  <si>
    <t>Wood 41-55</t>
    <phoneticPr fontId="17" type="noConversion"/>
  </si>
  <si>
    <t>Branch material, &lt;10cm</t>
    <phoneticPr fontId="17" type="noConversion"/>
  </si>
  <si>
    <t>Woody debris (&gt;7.62cm)</t>
    <phoneticPr fontId="17" type="noConversion"/>
  </si>
  <si>
    <t>Total woody debris</t>
    <phoneticPr fontId="17" type="noConversion"/>
  </si>
  <si>
    <t>117.01E</t>
    <phoneticPr fontId="17" type="noConversion"/>
  </si>
  <si>
    <t>Woody debris (&gt;7.62cm)</t>
    <phoneticPr fontId="17" type="noConversion"/>
  </si>
  <si>
    <t>Woody debris (7.63-20.5), sound</t>
    <phoneticPr fontId="17" type="noConversion"/>
  </si>
  <si>
    <t>24.49E</t>
  </si>
  <si>
    <t>Wood 41-55</t>
    <phoneticPr fontId="17" type="noConversion"/>
  </si>
  <si>
    <t>Logs, &gt;30cm</t>
    <phoneticPr fontId="17" type="noConversion"/>
  </si>
  <si>
    <t>Branches, &gt;10cm</t>
    <phoneticPr fontId="17" type="noConversion"/>
  </si>
  <si>
    <t>-</t>
    <phoneticPr fontId="17" type="noConversion"/>
  </si>
  <si>
    <t>Choma, Zambia</t>
  </si>
  <si>
    <t>Semi-arid Miombo Woodland</t>
  </si>
  <si>
    <t>Kaoma Local Forest, Western Province, Zambia</t>
  </si>
  <si>
    <t>Grass-dormant</t>
    <phoneticPr fontId="17" type="noConversion"/>
  </si>
  <si>
    <t>Grass-green</t>
    <phoneticPr fontId="17" type="noConversion"/>
  </si>
  <si>
    <t>Pasture: Don Mario (13year)</t>
    <phoneticPr fontId="17" type="noConversion"/>
  </si>
  <si>
    <t>Woody debris (7.63-20.5),sound</t>
    <phoneticPr fontId="17" type="noConversion"/>
  </si>
  <si>
    <t>Shabeni 1: Lowveld Sour Bushveld savanna, Late winter Biennial Burning Plot</t>
  </si>
  <si>
    <t>Faai 4, Pretoriuskop, SW Kruger Park</t>
    <phoneticPr fontId="17" type="noConversion"/>
  </si>
  <si>
    <t>Numbi 4: Lowveld Sour Bushveld savanna, Late winter Biennial Burning Plot</t>
  </si>
  <si>
    <t>Araujo et al., 1999: A tropical rainforest clearing experiment by biomass burning in the state of Para, Brazil, Atmospheric Environment 33.</t>
    <phoneticPr fontId="17" type="noConversion"/>
  </si>
  <si>
    <t>Small size trees, thin branch</t>
    <phoneticPr fontId="17" type="noConversion"/>
  </si>
  <si>
    <t>1980's</t>
    <phoneticPr fontId="17" type="noConversion"/>
  </si>
  <si>
    <t>Evergreen tropical forest</t>
    <phoneticPr fontId="17" type="noConversion"/>
  </si>
  <si>
    <t>Bilboa and Medina, 1996: Types of grassland and nitrogen volatilization in tropical savannas of Calabozo, Venezuela</t>
    <phoneticPr fontId="17" type="noConversion"/>
  </si>
  <si>
    <t>8.56N</t>
    <phoneticPr fontId="17" type="noConversion"/>
  </si>
  <si>
    <t>Green grass</t>
    <phoneticPr fontId="17" type="noConversion"/>
  </si>
  <si>
    <t>Dambo, Early dry season</t>
  </si>
  <si>
    <t>Standing dead grass</t>
    <phoneticPr fontId="17" type="noConversion"/>
  </si>
  <si>
    <t>Green grass</t>
    <phoneticPr fontId="17" type="noConversion"/>
  </si>
  <si>
    <t>Mix of pasture, Second growth forest and primary forest</t>
    <phoneticPr fontId="17" type="noConversion"/>
  </si>
  <si>
    <t>Mack et al. 2011</t>
    <phoneticPr fontId="17" type="noConversion"/>
  </si>
  <si>
    <t>Downed wood (0.64-2.54cm)</t>
    <phoneticPr fontId="17" type="noConversion"/>
  </si>
  <si>
    <t>Total woody</t>
    <phoneticPr fontId="17" type="noConversion"/>
  </si>
  <si>
    <t>Green grass</t>
    <phoneticPr fontId="17" type="noConversion"/>
  </si>
  <si>
    <t>Total standing dead grass</t>
    <phoneticPr fontId="17" type="noConversion"/>
  </si>
  <si>
    <t>Standing green grass</t>
    <phoneticPr fontId="17" type="noConversion"/>
  </si>
  <si>
    <t>Total grass</t>
    <phoneticPr fontId="17" type="noConversion"/>
  </si>
  <si>
    <t>Live woody</t>
    <phoneticPr fontId="17" type="noConversion"/>
  </si>
  <si>
    <t>23.00E</t>
  </si>
  <si>
    <t>Mongu region, Northern Kalahari Sand basin</t>
  </si>
  <si>
    <t>8,9</t>
  </si>
  <si>
    <t>-</t>
    <phoneticPr fontId="17" type="noConversion"/>
  </si>
  <si>
    <t>Bukit Soeharto Education Forest, East Kalimantan</t>
    <phoneticPr fontId="17" type="noConversion"/>
  </si>
  <si>
    <t>Heavily disturbed stands</t>
    <phoneticPr fontId="17" type="noConversion"/>
  </si>
  <si>
    <t>0.52S</t>
    <phoneticPr fontId="17" type="noConversion"/>
  </si>
  <si>
    <t>117.01E</t>
    <phoneticPr fontId="17" type="noConversion"/>
  </si>
  <si>
    <t>3,9</t>
    <phoneticPr fontId="17" type="noConversion"/>
  </si>
  <si>
    <t>Woody debris (7.63-20.5),sound</t>
    <phoneticPr fontId="17" type="noConversion"/>
  </si>
  <si>
    <t>Vines</t>
    <phoneticPr fontId="17" type="noConversion"/>
  </si>
  <si>
    <t>-</t>
    <phoneticPr fontId="17" type="noConversion"/>
  </si>
  <si>
    <t>Leaves</t>
    <phoneticPr fontId="17" type="noConversion"/>
  </si>
  <si>
    <t>Standing trees</t>
    <phoneticPr fontId="17" type="noConversion"/>
  </si>
  <si>
    <t>Downed wood (0-0.64cm)</t>
    <phoneticPr fontId="17" type="noConversion"/>
  </si>
  <si>
    <t>Downed wood (0.64-2.54cm)</t>
    <phoneticPr fontId="17" type="noConversion"/>
  </si>
  <si>
    <t>Bukit Soeharto Education Forest, East Kalimantan</t>
    <phoneticPr fontId="17" type="noConversion"/>
  </si>
  <si>
    <t>Moderately disturbed stands</t>
    <phoneticPr fontId="17" type="noConversion"/>
  </si>
  <si>
    <t>Tropical dry forest, high severity (Alta)</t>
    <phoneticPr fontId="17" type="noConversion"/>
  </si>
  <si>
    <t>Hely et al., 2003: SAFARI-2000 characterization of fuels, fire behavior, combustion completeness, and emissions from experimental burns in infertile grass savannas in western Zambia</t>
  </si>
  <si>
    <t>Branches, &gt;10cm</t>
    <phoneticPr fontId="17" type="noConversion"/>
  </si>
  <si>
    <t>Woody debris (&gt;7.62cm)</t>
    <phoneticPr fontId="17" type="noConversion"/>
  </si>
  <si>
    <t>Kambeni E, Pretoriuskop, SW Kruger Park</t>
    <phoneticPr fontId="17" type="noConversion"/>
  </si>
  <si>
    <t>Total Woodland</t>
    <phoneticPr fontId="17" type="noConversion"/>
  </si>
  <si>
    <t>Total Grassland</t>
    <phoneticPr fontId="17" type="noConversion"/>
  </si>
  <si>
    <t>Campo Aberto: Open Cerrado, Total biomass includes ground cover + arborous; tree biomass estimated using regression of Brown et al., 1989</t>
    <phoneticPr fontId="17" type="noConversion"/>
  </si>
  <si>
    <t>Dicots, Palms</t>
    <phoneticPr fontId="17" type="noConversion"/>
  </si>
  <si>
    <t>Carvalho et al., 2001: Biomass fire consumption and carbon release rates of rainforest-clearing experiments conducted in Northern Mato Grosso, Brazil, Journal of Geophysical Research</t>
    <phoneticPr fontId="17" type="noConversion"/>
  </si>
  <si>
    <t>Caiabi farm, Alta Floresta, Mato Grosso</t>
    <phoneticPr fontId="17" type="noConversion"/>
  </si>
  <si>
    <t>Kambeni 5: Lowveld Sour Bushveld savanna, Late winter Biennial Burning Plot</t>
  </si>
  <si>
    <t>Kambeni 5, Pretoriuskop, SW Kruger Park</t>
    <phoneticPr fontId="17" type="noConversion"/>
  </si>
  <si>
    <t>Woody debris (0.64-2.54)</t>
    <phoneticPr fontId="17" type="noConversion"/>
  </si>
  <si>
    <t>Woody debris (2.54-7.62)</t>
    <phoneticPr fontId="17" type="noConversion"/>
  </si>
  <si>
    <t>Woody debris (&gt;7.62cm)</t>
    <phoneticPr fontId="17" type="noConversion"/>
  </si>
  <si>
    <t>Woody debris (0.64-2.54)</t>
    <phoneticPr fontId="17" type="noConversion"/>
  </si>
  <si>
    <t>Woody total</t>
    <phoneticPr fontId="17" type="noConversion"/>
  </si>
  <si>
    <t>Savanna areas dominated by H. rufa burned 1 year after 27 years of protection</t>
    <phoneticPr fontId="17" type="noConversion"/>
  </si>
  <si>
    <t>Savanna areas dominated by T. plumosus burned 1 year after 27 years of protection</t>
    <phoneticPr fontId="17" type="noConversion"/>
  </si>
  <si>
    <t>Woody Debris (0-0.64)</t>
    <phoneticPr fontId="17" type="noConversion"/>
  </si>
  <si>
    <t>Total grass</t>
    <phoneticPr fontId="17" type="noConversion"/>
  </si>
  <si>
    <t xml:space="preserve">Annual </t>
  </si>
  <si>
    <t>Perennial</t>
  </si>
  <si>
    <t>15.84S</t>
  </si>
  <si>
    <t>47.95W</t>
  </si>
  <si>
    <t>Total</t>
    <phoneticPr fontId="17" type="noConversion"/>
  </si>
  <si>
    <t xml:space="preserve">Permafrost bog </t>
    <phoneticPr fontId="17" type="noConversion"/>
  </si>
  <si>
    <t>Litter and branches</t>
    <phoneticPr fontId="17" type="noConversion"/>
  </si>
  <si>
    <t>Prasad et al., 2001: Biomass and combustion characteristics of secondary mixed deciduous forests in Eastern Ghats of India, Atmospheric Environment 35, 3085-3095.</t>
    <phoneticPr fontId="17" type="noConversion"/>
  </si>
  <si>
    <t>17.65N</t>
  </si>
  <si>
    <t>81.75E</t>
  </si>
  <si>
    <t>Kotha Valasa</t>
  </si>
  <si>
    <t>Wood 10-25</t>
    <phoneticPr fontId="17" type="noConversion"/>
  </si>
  <si>
    <t>Wood 26-40</t>
    <phoneticPr fontId="17" type="noConversion"/>
  </si>
  <si>
    <t>Brasilia, Central Brazil</t>
    <phoneticPr fontId="17" type="noConversion"/>
  </si>
  <si>
    <t>-</t>
    <phoneticPr fontId="17" type="noConversion"/>
  </si>
  <si>
    <t>Brasilia, Central Brazil</t>
    <phoneticPr fontId="17" type="noConversion"/>
  </si>
  <si>
    <t>Campo Sujo, Individuals &gt;2m in height not counted</t>
    <phoneticPr fontId="17" type="noConversion"/>
  </si>
  <si>
    <t>Campo Cerrado</t>
  </si>
  <si>
    <t>Total Indonesia</t>
    <phoneticPr fontId="17" type="noConversion"/>
  </si>
  <si>
    <t>-</t>
    <phoneticPr fontId="17" type="noConversion"/>
  </si>
  <si>
    <t xml:space="preserve">Ta (open woodland), Typical Cerrado: Steppe like Savanna </t>
  </si>
  <si>
    <t>Cook et al., 1994</t>
    <phoneticPr fontId="17" type="noConversion"/>
  </si>
  <si>
    <t>12.40S</t>
    <phoneticPr fontId="17" type="noConversion"/>
  </si>
  <si>
    <t>132.5E</t>
    <phoneticPr fontId="17" type="noConversion"/>
  </si>
  <si>
    <t>Woody debris (2.54-7.62)</t>
    <phoneticPr fontId="17" type="noConversion"/>
  </si>
  <si>
    <t>Woody debris (&gt;7.62cm)</t>
    <phoneticPr fontId="17" type="noConversion"/>
  </si>
  <si>
    <t>Shabeni 1, Pretoriuskop, SW Kruger Park</t>
    <phoneticPr fontId="17" type="noConversion"/>
  </si>
  <si>
    <t>Hoffa et al., 1999: Seasonality of carbon emissions from biomass burning in a Zambian savanna</t>
  </si>
  <si>
    <t>14.52S</t>
  </si>
  <si>
    <t>Faai 1: Lowveld Sour Bushveld savanna, Late winter Biennial Burning Plot</t>
  </si>
  <si>
    <t>Numbi 4, Pretoriuskop, SW Kruger Park</t>
    <phoneticPr fontId="17" type="noConversion"/>
  </si>
  <si>
    <t>Woody debris (0-0.64cm)</t>
    <phoneticPr fontId="17" type="noConversion"/>
  </si>
  <si>
    <t>Sa (open woodland), Typical Cerrado: Savanna</t>
  </si>
  <si>
    <t xml:space="preserve">Litter </t>
    <phoneticPr fontId="17" type="noConversion"/>
  </si>
  <si>
    <t>Faai 4: Lowveld Sour Bushveld savanna, Early Spring Biennial Burning Plot</t>
  </si>
  <si>
    <t xml:space="preserve">Tg (grassland), Dirty Field: Steppe like Savanna </t>
  </si>
  <si>
    <t>Woody debris (0.64-2.54cm)</t>
    <phoneticPr fontId="17" type="noConversion"/>
  </si>
  <si>
    <t>48.12W</t>
    <phoneticPr fontId="17" type="noConversion"/>
  </si>
  <si>
    <t>Igarape do Vinagre, Para</t>
    <phoneticPr fontId="17" type="noConversion"/>
  </si>
  <si>
    <t>Small size trees, trunk</t>
    <phoneticPr fontId="17" type="noConversion"/>
  </si>
  <si>
    <t>Tropical dense rainforest</t>
    <phoneticPr fontId="17" type="noConversion"/>
  </si>
  <si>
    <t>Kambeni 3, Pretoriuskop, SW Kruger Park</t>
    <phoneticPr fontId="17" type="noConversion"/>
  </si>
  <si>
    <t>Los Tuxtlas, Mexico</t>
    <phoneticPr fontId="17" type="noConversion"/>
  </si>
  <si>
    <t>Cerrado Sensu Stricto</t>
  </si>
  <si>
    <t>&lt;0.1</t>
    <phoneticPr fontId="17" type="noConversion"/>
  </si>
  <si>
    <t>&lt;0.1</t>
    <phoneticPr fontId="17" type="noConversion"/>
  </si>
  <si>
    <t>Total Mexico</t>
    <phoneticPr fontId="17" type="noConversion"/>
  </si>
  <si>
    <t>WALFA, Arnhem Plateau</t>
    <phoneticPr fontId="17" type="noConversion"/>
  </si>
  <si>
    <t>Early fire, Fine fuel</t>
  </si>
  <si>
    <t>WALFA, Arnhem Plateau</t>
    <phoneticPr fontId="17" type="noConversion"/>
  </si>
  <si>
    <t>Woody debris (&gt;20.5),rotten</t>
    <phoneticPr fontId="17" type="noConversion"/>
  </si>
  <si>
    <t>Woody debris (&gt;20.5),total</t>
    <phoneticPr fontId="17" type="noConversion"/>
  </si>
  <si>
    <t>Total wood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</si>
  <si>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</si>
  <si>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</si>
  <si>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</si>
  <si>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</si>
  <si>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Hurst et al., 1994: Trace gas emissions from biomass burning in tropical Australian savannas.</t>
    <phoneticPr fontId="17" type="noConversion"/>
  </si>
  <si>
    <t>12.30S</t>
  </si>
  <si>
    <t>133.00E</t>
  </si>
  <si>
    <t>Sp (parkland), Parkland Cerrado: Savanna</t>
  </si>
  <si>
    <t>Block 56, Pretoriuskop, SW Kruger Park</t>
    <phoneticPr fontId="17" type="noConversion"/>
  </si>
  <si>
    <t>Standing dead grass</t>
    <phoneticPr fontId="17" type="noConversion"/>
  </si>
  <si>
    <t>-</t>
    <phoneticPr fontId="17" type="noConversion"/>
  </si>
  <si>
    <t>Miombo, Early dry season</t>
  </si>
  <si>
    <t>Standing green grass</t>
    <phoneticPr fontId="17" type="noConversion"/>
  </si>
  <si>
    <t>Live woody</t>
    <phoneticPr fontId="17" type="noConversion"/>
  </si>
  <si>
    <t>Damanapalli</t>
    <phoneticPr fontId="17" type="noConversion"/>
  </si>
  <si>
    <t>Total Russia</t>
    <phoneticPr fontId="17" type="noConversion"/>
  </si>
  <si>
    <t>Hollows</t>
    <phoneticPr fontId="17" type="noConversion"/>
  </si>
  <si>
    <t>Total India</t>
    <phoneticPr fontId="17" type="noConversion"/>
  </si>
  <si>
    <t>Woody debris (&gt;2.54cm)</t>
    <phoneticPr fontId="17" type="noConversion"/>
  </si>
  <si>
    <t>Litter</t>
    <phoneticPr fontId="17" type="noConversion"/>
  </si>
  <si>
    <t>Total fine fuels</t>
    <phoneticPr fontId="17" type="noConversion"/>
  </si>
  <si>
    <t xml:space="preserve"> Jaramillo et al., 2003: Biomass, Carbon, and Nitrogen pools in Mexican tropical dry forest landscapes</t>
    <phoneticPr fontId="17" type="noConversion"/>
  </si>
  <si>
    <t>19.50N</t>
  </si>
  <si>
    <t>105.05W</t>
  </si>
  <si>
    <t>Woody debris (0.64-2.54)</t>
    <phoneticPr fontId="17" type="noConversion"/>
  </si>
  <si>
    <t>Grass-dormant</t>
    <phoneticPr fontId="17" type="noConversion"/>
  </si>
  <si>
    <t>Grass-green</t>
    <phoneticPr fontId="17" type="noConversion"/>
  </si>
  <si>
    <t>Total grass</t>
    <phoneticPr fontId="17" type="noConversion"/>
  </si>
  <si>
    <t>Tree/shrub leaves</t>
    <phoneticPr fontId="17" type="noConversion"/>
  </si>
  <si>
    <t>Woody debris (2.54-7.62)</t>
    <phoneticPr fontId="17" type="noConversion"/>
  </si>
  <si>
    <t>Block 55, Pretoriuskop, SW Kruger Park</t>
    <phoneticPr fontId="17" type="noConversion"/>
  </si>
  <si>
    <t>Cereal crops</t>
    <phoneticPr fontId="17" type="noConversion"/>
  </si>
  <si>
    <t xml:space="preserve">Corn </t>
  </si>
  <si>
    <t>Cotton</t>
  </si>
  <si>
    <t>Lentils</t>
  </si>
  <si>
    <t>Oats</t>
  </si>
  <si>
    <t>Rye</t>
  </si>
  <si>
    <t>Total Woodland</t>
    <phoneticPr fontId="17" type="noConversion"/>
  </si>
  <si>
    <t>-</t>
    <phoneticPr fontId="17" type="noConversion"/>
  </si>
  <si>
    <t>-</t>
    <phoneticPr fontId="17" type="noConversion"/>
  </si>
  <si>
    <t>Surface layer</t>
    <phoneticPr fontId="17" type="noConversion"/>
  </si>
  <si>
    <t>Shrubs</t>
    <phoneticPr fontId="17" type="noConversion"/>
  </si>
  <si>
    <t>Barbosa and Fearnside, 2005: Above-ground biomass and the fate of carbon after burning in the savannas of Roraima, Brazilian Amazonia</t>
  </si>
  <si>
    <t>3.75N</t>
  </si>
  <si>
    <t>Righi et al., 2009: Biomass burning in Brazil's Amazonian "arc of deforestation": Burning efficiency and charcoal formation in a fire after mechanized clearing at Feliz Natal, Mato Grosso.</t>
    <phoneticPr fontId="17" type="noConversion"/>
  </si>
  <si>
    <t>12.53S</t>
  </si>
  <si>
    <t>54.88W</t>
  </si>
  <si>
    <t>Campo Denso: Dense Cerrado, Total biomass includes ground cover + arborous; tree biomass estimated using regression of Brown et al., 1989</t>
    <phoneticPr fontId="17" type="noConversion"/>
  </si>
  <si>
    <t>De Castro and Kauffman, 1998: Ecosystem structure in the Brazilian Cerrado, a vegetation gradient of aboveground biomass, root mass and consumption by fire, Journal of tropical Ecology, 14, 3, 263-283.</t>
    <phoneticPr fontId="17" type="noConversion"/>
  </si>
  <si>
    <t>Brasilia</t>
  </si>
  <si>
    <t>Africa</t>
    <phoneticPr fontId="17" type="noConversion"/>
  </si>
  <si>
    <t>Grazing</t>
  </si>
  <si>
    <t>Sg (grassland), Dirty Field: Savanna</t>
  </si>
  <si>
    <t>Peat, grass, and litter</t>
    <phoneticPr fontId="17" type="noConversion"/>
  </si>
  <si>
    <t>Total peat</t>
    <phoneticPr fontId="17" type="noConversion"/>
  </si>
  <si>
    <t>-</t>
    <phoneticPr fontId="17" type="noConversion"/>
  </si>
  <si>
    <t>Wood 56-70</t>
    <phoneticPr fontId="17" type="noConversion"/>
  </si>
  <si>
    <t>Wood &gt;70</t>
    <phoneticPr fontId="17" type="noConversion"/>
  </si>
  <si>
    <t>Woody debris (2.54-7.62)</t>
    <phoneticPr fontId="17" type="noConversion"/>
  </si>
  <si>
    <t>Savanna areas dominated by T. plumosus protected against fire for 27 years</t>
    <phoneticPr fontId="17" type="noConversion"/>
  </si>
  <si>
    <t>Mixed leaf litter</t>
    <phoneticPr fontId="17" type="noConversion"/>
  </si>
  <si>
    <t>2.70W</t>
  </si>
  <si>
    <t>Tiogo State Forest</t>
  </si>
  <si>
    <t>FC (t/ha)</t>
    <phoneticPr fontId="17" type="noConversion"/>
  </si>
  <si>
    <t>Kauffman et al. 1998</t>
    <phoneticPr fontId="17" type="noConversion"/>
  </si>
  <si>
    <t>Barbosa and fearnside 1996</t>
    <phoneticPr fontId="17" type="noConversion"/>
  </si>
  <si>
    <t>Prasad et al. 2000</t>
    <phoneticPr fontId="17" type="noConversion"/>
  </si>
  <si>
    <t>Toma et al., 2005: Long-term monitoring of post-fire aboveground biomass recovery in a lowland dipterocarp forest in East Kalimantan, Indonesia</t>
    <phoneticPr fontId="17" type="noConversion"/>
  </si>
  <si>
    <t>0.52S</t>
    <phoneticPr fontId="17" type="noConversion"/>
  </si>
  <si>
    <t>Woody Debris (0-0.64)</t>
    <phoneticPr fontId="17" type="noConversion"/>
  </si>
  <si>
    <t>Brasilia, Central Brazil</t>
    <phoneticPr fontId="17" type="noConversion"/>
  </si>
  <si>
    <t>Dicot litter</t>
    <phoneticPr fontId="17" type="noConversion"/>
  </si>
  <si>
    <t>&lt;1</t>
    <phoneticPr fontId="17" type="noConversion"/>
  </si>
  <si>
    <t>Campo Limpo</t>
    <phoneticPr fontId="17" type="noConversion"/>
  </si>
  <si>
    <t>Pasture</t>
    <phoneticPr fontId="17" type="noConversion"/>
  </si>
  <si>
    <t>Litter</t>
    <phoneticPr fontId="17" type="noConversion"/>
  </si>
  <si>
    <t>Leaves</t>
    <phoneticPr fontId="17" type="noConversion"/>
  </si>
  <si>
    <t>16.60S</t>
  </si>
  <si>
    <t>27.15E</t>
  </si>
  <si>
    <t>Tree/shrub leaves</t>
    <phoneticPr fontId="17" type="noConversion"/>
  </si>
  <si>
    <t>Woody debris (0-0.64cm)</t>
    <phoneticPr fontId="17" type="noConversion"/>
  </si>
  <si>
    <t>Faai 1, Pretoriuskop, SW Kruger Park</t>
    <phoneticPr fontId="17" type="noConversion"/>
  </si>
  <si>
    <t>Surface Fuels</t>
    <phoneticPr fontId="17" type="noConversion"/>
  </si>
  <si>
    <t>Crown Fuels</t>
    <phoneticPr fontId="17" type="noConversion"/>
  </si>
  <si>
    <t>Total Fuels</t>
    <phoneticPr fontId="17" type="noConversion"/>
  </si>
  <si>
    <t>-</t>
    <phoneticPr fontId="17" type="noConversion"/>
  </si>
  <si>
    <t>Woody debris (&gt;2.54cm)</t>
    <phoneticPr fontId="17" type="noConversion"/>
  </si>
  <si>
    <t>Kapalga Research Station, Kakdu National Park</t>
    <phoneticPr fontId="17" type="noConversion"/>
  </si>
  <si>
    <t>Total South America</t>
    <phoneticPr fontId="17" type="noConversion"/>
  </si>
  <si>
    <t>Total Australia</t>
    <phoneticPr fontId="17" type="noConversion"/>
  </si>
  <si>
    <t xml:space="preserve">Tg (grassland), Clean Field: Steppe like Savanna </t>
  </si>
  <si>
    <t xml:space="preserve">Tp (parkland), Parkland Cerrado: Steppe like Savanna </t>
  </si>
  <si>
    <t>Total woody</t>
    <phoneticPr fontId="17" type="noConversion"/>
  </si>
  <si>
    <t>Green grass</t>
    <phoneticPr fontId="17" type="noConversion"/>
  </si>
  <si>
    <t>Live woody</t>
    <phoneticPr fontId="17" type="noConversion"/>
  </si>
  <si>
    <t>Total grass</t>
    <phoneticPr fontId="17" type="noConversion"/>
  </si>
  <si>
    <t>-</t>
    <phoneticPr fontId="17" type="noConversion"/>
  </si>
  <si>
    <t>Leaves</t>
    <phoneticPr fontId="17" type="noConversion"/>
  </si>
  <si>
    <t>-</t>
    <phoneticPr fontId="17" type="noConversion"/>
  </si>
  <si>
    <t>Downed wood (0-0.64cm)</t>
    <phoneticPr fontId="17" type="noConversion"/>
  </si>
  <si>
    <t>0.52S</t>
    <phoneticPr fontId="17" type="noConversion"/>
  </si>
  <si>
    <t>Forest</t>
    <phoneticPr fontId="17" type="noConversion"/>
  </si>
  <si>
    <t>Woodland</t>
    <phoneticPr fontId="17" type="noConversion"/>
  </si>
  <si>
    <t>Woody litter: A. Gayanus</t>
  </si>
  <si>
    <t>Russell-Smith et al., 2009</t>
    <phoneticPr fontId="17" type="noConversion"/>
  </si>
  <si>
    <t>Early fire, Shrub fuel</t>
  </si>
  <si>
    <t>Late fire, Fine fuel</t>
  </si>
  <si>
    <t>Late fire, Coarse fuel</t>
  </si>
  <si>
    <t>Late fire, Heavy fuel</t>
  </si>
  <si>
    <t>Late fire, Shrub fuel</t>
  </si>
  <si>
    <t>-</t>
    <phoneticPr fontId="17" type="noConversion"/>
  </si>
  <si>
    <t>Early fire, Coarse fuel</t>
  </si>
  <si>
    <t>Lightly disturbed stands</t>
    <phoneticPr fontId="17" type="noConversion"/>
  </si>
  <si>
    <t>Seedgrass (e.g., Kentucky bluegrass, sod grass, ryegrass, bentgrass, orchardgrass, fescue)</t>
  </si>
  <si>
    <t>Kapalga, Kakadu National park, Northern territory</t>
    <phoneticPr fontId="17" type="noConversion"/>
  </si>
  <si>
    <t>Australia</t>
    <phoneticPr fontId="17" type="noConversion"/>
  </si>
  <si>
    <t>15.00S</t>
  </si>
  <si>
    <t>Turetsky and Wieder 2001</t>
    <phoneticPr fontId="17" type="noConversion"/>
  </si>
  <si>
    <t>Woody debris (7.6-20.5cm), rotten</t>
    <phoneticPr fontId="17" type="noConversion"/>
  </si>
  <si>
    <t>Woody debris (7.6-20.5cm), sound</t>
    <phoneticPr fontId="17" type="noConversion"/>
  </si>
  <si>
    <t>5-23</t>
    <phoneticPr fontId="17" type="noConversion"/>
  </si>
  <si>
    <t>Carvalho et al. 1995</t>
    <phoneticPr fontId="17" type="noConversion"/>
  </si>
  <si>
    <t>Guild et al. 1998</t>
    <phoneticPr fontId="17" type="noConversion"/>
  </si>
  <si>
    <t>2-4</t>
    <phoneticPr fontId="17" type="noConversion"/>
  </si>
  <si>
    <t>Total Woodland</t>
    <phoneticPr fontId="17" type="noConversion"/>
  </si>
  <si>
    <t>Total Grassland</t>
    <phoneticPr fontId="17" type="noConversion"/>
  </si>
  <si>
    <t>Campo Limpo: Clean field (grassland), Total biomass includes ground cover + arborous; tree biomass estimated using regression of Brown et al., 1989</t>
    <phoneticPr fontId="17" type="noConversion"/>
  </si>
  <si>
    <t>Dicots, Palms</t>
    <phoneticPr fontId="17" type="noConversion"/>
  </si>
  <si>
    <t>Woody total</t>
    <phoneticPr fontId="17" type="noConversion"/>
  </si>
  <si>
    <t>Surface layer</t>
    <phoneticPr fontId="17" type="noConversion"/>
  </si>
  <si>
    <t>Shrubs</t>
    <phoneticPr fontId="17" type="noConversion"/>
  </si>
  <si>
    <t>Floodplain</t>
  </si>
  <si>
    <t>Woody Debris (0-0.64)</t>
    <phoneticPr fontId="17" type="noConversion"/>
  </si>
  <si>
    <t>FL (t/ha)</t>
    <phoneticPr fontId="17" type="noConversion"/>
  </si>
  <si>
    <t>Attached foliage</t>
    <phoneticPr fontId="17" type="noConversion"/>
  </si>
  <si>
    <t>Liana</t>
    <phoneticPr fontId="17" type="noConversion"/>
  </si>
  <si>
    <t>Woody debris (0-0.64cm)</t>
    <phoneticPr fontId="17" type="noConversion"/>
  </si>
  <si>
    <t>Woody debris (0.64-2.54cm)</t>
    <phoneticPr fontId="17" type="noConversion"/>
  </si>
  <si>
    <t>Woody debris (2.55-7.6cm)</t>
    <phoneticPr fontId="17" type="noConversion"/>
  </si>
  <si>
    <t>Woinarski et al. 2004</t>
    <phoneticPr fontId="17" type="noConversion"/>
  </si>
  <si>
    <t>Hunt unpublished personal communication</t>
    <phoneticPr fontId="17" type="noConversion"/>
  </si>
  <si>
    <t>Soybeans</t>
  </si>
  <si>
    <t>Sugarcane</t>
  </si>
  <si>
    <t>Dicots</t>
    <phoneticPr fontId="17" type="noConversion"/>
  </si>
  <si>
    <t>Total North America</t>
    <phoneticPr fontId="17" type="noConversion"/>
  </si>
  <si>
    <t>Total Mexico</t>
    <phoneticPr fontId="17" type="noConversion"/>
  </si>
  <si>
    <t>FL sd (t/ha)</t>
    <phoneticPr fontId="17" type="noConversion"/>
  </si>
  <si>
    <t>CC (%)</t>
    <phoneticPr fontId="17" type="noConversion"/>
  </si>
  <si>
    <t>Woody debris (0.64-2.54cm)</t>
    <phoneticPr fontId="17" type="noConversion"/>
  </si>
  <si>
    <t>Woody debris (&gt;2.54cm)</t>
    <phoneticPr fontId="17" type="noConversion"/>
  </si>
  <si>
    <t>Brasilia, Central Brazil</t>
    <phoneticPr fontId="17" type="noConversion"/>
  </si>
  <si>
    <t>60.50W</t>
  </si>
  <si>
    <t>Roraima, Brazilian Amazon</t>
  </si>
  <si>
    <t>1995-1998</t>
  </si>
  <si>
    <t>Total fine fuels</t>
    <phoneticPr fontId="17" type="noConversion"/>
  </si>
  <si>
    <t xml:space="preserve">Sg (grassland), Clean Field: Savanna </t>
    <phoneticPr fontId="17" type="noConversion"/>
  </si>
  <si>
    <t>67.25W</t>
    <phoneticPr fontId="17" type="noConversion"/>
  </si>
  <si>
    <t>Calaboza, Guarico state, Venezuela</t>
    <phoneticPr fontId="17" type="noConversion"/>
  </si>
  <si>
    <t>Miranda et al., 1996a: Comportamento do fogo em queimadas de campo sujo</t>
    <phoneticPr fontId="17" type="noConversion"/>
  </si>
  <si>
    <t>15.51S</t>
  </si>
  <si>
    <t>47.53W</t>
  </si>
  <si>
    <t>Grass total</t>
    <phoneticPr fontId="17" type="noConversion"/>
  </si>
  <si>
    <t>-</t>
    <phoneticPr fontId="17" type="noConversion"/>
  </si>
  <si>
    <t xml:space="preserve">Fine fuels </t>
    <phoneticPr fontId="17" type="noConversion"/>
  </si>
  <si>
    <t>Coarse fuels</t>
    <phoneticPr fontId="17" type="noConversion"/>
  </si>
  <si>
    <t>Heavy fuels</t>
    <phoneticPr fontId="17" type="noConversion"/>
  </si>
  <si>
    <t>Shrub fuels</t>
    <phoneticPr fontId="17" type="noConversion"/>
  </si>
  <si>
    <t>Total trees and shrubs</t>
    <phoneticPr fontId="17" type="noConversion"/>
  </si>
  <si>
    <t>-</t>
    <phoneticPr fontId="17" type="noConversion"/>
  </si>
  <si>
    <t>Yang et al. 2008</t>
    <phoneticPr fontId="17" type="noConversion"/>
  </si>
  <si>
    <t>2001-2005</t>
    <phoneticPr fontId="17" type="noConversion"/>
  </si>
  <si>
    <t>McCarty et al. 2011</t>
    <phoneticPr fontId="17" type="noConversion"/>
  </si>
  <si>
    <t>7-10</t>
    <phoneticPr fontId="17" type="noConversion"/>
  </si>
  <si>
    <t>7-9</t>
    <phoneticPr fontId="17" type="noConversion"/>
  </si>
  <si>
    <t>6-10</t>
    <phoneticPr fontId="17" type="noConversion"/>
  </si>
  <si>
    <t>10-3</t>
    <phoneticPr fontId="17" type="noConversion"/>
  </si>
  <si>
    <t>Savadogo et al., 2007: Fuel and fire characteristics in savanna-woodland of West-Africa in relation to grazing and dominant grass type</t>
    <phoneticPr fontId="17" type="noConversion"/>
  </si>
  <si>
    <t>12.22N</t>
  </si>
  <si>
    <t>Carvalho Jr. et al. (to be submitted)</t>
    <phoneticPr fontId="17" type="noConversion"/>
  </si>
  <si>
    <t>Shea et al. 1996</t>
    <phoneticPr fontId="17" type="noConversion"/>
  </si>
  <si>
    <t>8-9</t>
    <phoneticPr fontId="17" type="noConversion"/>
  </si>
  <si>
    <t>6-24</t>
    <phoneticPr fontId="17" type="noConversion"/>
  </si>
  <si>
    <t>Hoffa et al. 1999</t>
    <phoneticPr fontId="17" type="noConversion"/>
  </si>
  <si>
    <t>Stocks 1987a</t>
    <phoneticPr fontId="17" type="noConversion"/>
  </si>
  <si>
    <t>1978-1982</t>
    <phoneticPr fontId="17" type="noConversion"/>
  </si>
  <si>
    <t>6-27</t>
    <phoneticPr fontId="17" type="noConversion"/>
  </si>
  <si>
    <t>Stocks 1987b</t>
    <phoneticPr fontId="17" type="noConversion"/>
  </si>
  <si>
    <t>1975-1981</t>
    <phoneticPr fontId="17" type="noConversion"/>
  </si>
  <si>
    <t>6-7</t>
    <phoneticPr fontId="17" type="noConversion"/>
  </si>
  <si>
    <t>1-30</t>
    <phoneticPr fontId="17" type="noConversion"/>
  </si>
  <si>
    <t>Stocks 1989</t>
    <phoneticPr fontId="17" type="noConversion"/>
  </si>
  <si>
    <t>-</t>
    <phoneticPr fontId="17" type="noConversion"/>
  </si>
  <si>
    <t>-</t>
    <phoneticPr fontId="17" type="noConversion"/>
  </si>
  <si>
    <t>Continental bog</t>
    <phoneticPr fontId="17" type="noConversion"/>
  </si>
  <si>
    <t>Hummocks</t>
    <phoneticPr fontId="17" type="noConversion"/>
  </si>
  <si>
    <t>No Grazing</t>
  </si>
  <si>
    <t>Dicots</t>
    <phoneticPr fontId="17" type="noConversion"/>
  </si>
  <si>
    <t>Tree/shrub leaves</t>
    <phoneticPr fontId="17" type="noConversion"/>
  </si>
  <si>
    <t>Woody debris (0-0.64cm)</t>
    <phoneticPr fontId="17" type="noConversion"/>
  </si>
  <si>
    <t>Woody debris total</t>
    <phoneticPr fontId="17" type="noConversion"/>
  </si>
  <si>
    <t>Woody debris (0.64-2.54cm)</t>
    <phoneticPr fontId="17" type="noConversion"/>
  </si>
  <si>
    <t>Kauffman et al. 2003</t>
    <phoneticPr fontId="17" type="noConversion"/>
  </si>
  <si>
    <t>9-10</t>
    <phoneticPr fontId="17" type="noConversion"/>
  </si>
  <si>
    <t>3-9</t>
    <phoneticPr fontId="17" type="noConversion"/>
  </si>
  <si>
    <t>Hughes et al. 2000</t>
    <phoneticPr fontId="17" type="noConversion"/>
  </si>
  <si>
    <t>Toma et al. 2005</t>
    <phoneticPr fontId="17" type="noConversion"/>
  </si>
  <si>
    <t>Ground Fuels</t>
    <phoneticPr fontId="17" type="noConversion"/>
  </si>
  <si>
    <t>de Groot et al. 2009</t>
    <phoneticPr fontId="17" type="noConversion"/>
  </si>
  <si>
    <t>Miranda et al. 1996</t>
    <phoneticPr fontId="17" type="noConversion"/>
  </si>
  <si>
    <t>1992-1994</t>
    <phoneticPr fontId="17" type="noConversion"/>
  </si>
  <si>
    <t>De Castro and Kauffman 1998</t>
    <phoneticPr fontId="17" type="noConversion"/>
  </si>
  <si>
    <t>Barbosa and Fearnside 2005</t>
    <phoneticPr fontId="17" type="noConversion"/>
  </si>
  <si>
    <t>Barbosa and Fearnside 2005</t>
    <phoneticPr fontId="17" type="noConversion"/>
  </si>
  <si>
    <t>Cook et al. 1994</t>
    <phoneticPr fontId="17" type="noConversion"/>
  </si>
  <si>
    <t>Cook et al. 1994</t>
    <phoneticPr fontId="17" type="noConversion"/>
  </si>
  <si>
    <t>Hurst et al. 1994</t>
    <phoneticPr fontId="17" type="noConversion"/>
  </si>
  <si>
    <t>12.43S</t>
  </si>
  <si>
    <t>131.49E</t>
  </si>
  <si>
    <t>Wildman Reserve, Northern Territory</t>
  </si>
  <si>
    <t>Grass: Native Grass</t>
  </si>
  <si>
    <t>Grass: A. Gayanus</t>
  </si>
  <si>
    <t>Woody litter</t>
    <phoneticPr fontId="17" type="noConversion"/>
  </si>
  <si>
    <t>Woody Litter: Native Woody Litter</t>
  </si>
  <si>
    <t>Early fire, Heavy fuel</t>
  </si>
  <si>
    <t>Surface</t>
    <phoneticPr fontId="17" type="noConversion"/>
  </si>
  <si>
    <t>Young, Healthy Chamise</t>
    <phoneticPr fontId="17" type="noConversion"/>
  </si>
  <si>
    <t>Mature chamise</t>
    <phoneticPr fontId="17" type="noConversion"/>
  </si>
  <si>
    <t>Mature caenothus with chamise</t>
    <phoneticPr fontId="17" type="noConversion"/>
  </si>
  <si>
    <t>Chaparral, prescribed fire</t>
    <phoneticPr fontId="17" type="noConversion"/>
  </si>
  <si>
    <t>Ottmar and Sandberg 2010</t>
    <phoneticPr fontId="17" type="noConversion"/>
  </si>
  <si>
    <t>23-24</t>
    <phoneticPr fontId="17" type="noConversion"/>
  </si>
  <si>
    <t>9-27</t>
    <phoneticPr fontId="17" type="noConversion"/>
  </si>
  <si>
    <t>1987-2005</t>
    <phoneticPr fontId="17" type="noConversion"/>
  </si>
  <si>
    <t>1987-2005</t>
    <phoneticPr fontId="17" type="noConversion"/>
  </si>
  <si>
    <t>Boby et al. 2010</t>
    <phoneticPr fontId="17" type="noConversion"/>
  </si>
  <si>
    <t>North America</t>
    <phoneticPr fontId="17" type="noConversion"/>
  </si>
  <si>
    <t>-</t>
    <phoneticPr fontId="17" type="noConversion"/>
  </si>
  <si>
    <t>7-10</t>
    <phoneticPr fontId="17" type="noConversion"/>
  </si>
  <si>
    <t>7-9</t>
    <phoneticPr fontId="17" type="noConversion"/>
  </si>
  <si>
    <t>6-10</t>
    <phoneticPr fontId="17" type="noConversion"/>
  </si>
  <si>
    <t>Sparks et al. 2002</t>
    <phoneticPr fontId="17" type="noConversion"/>
  </si>
  <si>
    <t>9-10</t>
    <phoneticPr fontId="17" type="noConversion"/>
  </si>
  <si>
    <t>3-4</t>
    <phoneticPr fontId="17" type="noConversion"/>
  </si>
  <si>
    <t>Sparks et al. 2002</t>
    <phoneticPr fontId="17" type="noConversion"/>
  </si>
  <si>
    <t>1994-1996</t>
    <phoneticPr fontId="17" type="noConversion"/>
  </si>
  <si>
    <t>3-4-9-10</t>
    <phoneticPr fontId="17" type="noConversion"/>
  </si>
  <si>
    <t>Stephens and Finney 2002</t>
    <phoneticPr fontId="17" type="noConversion"/>
  </si>
  <si>
    <t>Beche et al. 2005</t>
    <phoneticPr fontId="17" type="noConversion"/>
  </si>
  <si>
    <t>21-23</t>
    <phoneticPr fontId="17" type="noConversion"/>
  </si>
  <si>
    <t>Hille and Stephens 2005</t>
    <phoneticPr fontId="17" type="noConversion"/>
  </si>
  <si>
    <t>10-11</t>
    <phoneticPr fontId="17" type="noConversion"/>
  </si>
  <si>
    <t>Sah et al. 2006</t>
    <phoneticPr fontId="17" type="noConversion"/>
  </si>
  <si>
    <t>Fearnside et al. 2001</t>
    <phoneticPr fontId="17" type="noConversion"/>
  </si>
  <si>
    <t>Carvalho et al. 1998</t>
    <phoneticPr fontId="17" type="noConversion"/>
  </si>
  <si>
    <t>Graca et al. 1999</t>
    <phoneticPr fontId="17" type="noConversion"/>
  </si>
  <si>
    <t>Fearnside et al. 1999</t>
    <phoneticPr fontId="17" type="noConversion"/>
  </si>
  <si>
    <t>Araujo et al. 1999</t>
    <phoneticPr fontId="17" type="noConversion"/>
  </si>
  <si>
    <t>Hughes et al. 2000</t>
    <phoneticPr fontId="17" type="noConversion"/>
  </si>
  <si>
    <t>1990-1993</t>
    <phoneticPr fontId="17" type="noConversion"/>
  </si>
  <si>
    <t>2-21</t>
    <phoneticPr fontId="17" type="noConversion"/>
  </si>
  <si>
    <t>-</t>
    <phoneticPr fontId="17" type="noConversion"/>
  </si>
  <si>
    <t>-</t>
    <phoneticPr fontId="17" type="noConversion"/>
  </si>
  <si>
    <t>-</t>
    <phoneticPr fontId="17" type="noConversion"/>
  </si>
  <si>
    <t>Total Grassland</t>
    <phoneticPr fontId="17" type="noConversion"/>
  </si>
  <si>
    <t>Total Woodland</t>
    <phoneticPr fontId="17" type="noConversion"/>
  </si>
  <si>
    <t>Woody debris (7.6-20.5cm)</t>
    <phoneticPr fontId="17" type="noConversion"/>
  </si>
  <si>
    <t>Woody debris (&gt;20.5cm)</t>
    <phoneticPr fontId="17" type="noConversion"/>
  </si>
  <si>
    <t>Biome</t>
    <phoneticPr fontId="17" type="noConversion"/>
  </si>
  <si>
    <t>1998-2000</t>
    <phoneticPr fontId="17" type="noConversion"/>
  </si>
  <si>
    <t>Campbell et al. 2007</t>
    <phoneticPr fontId="17" type="noConversion"/>
  </si>
  <si>
    <t>Goodrick et al. 2010</t>
    <phoneticPr fontId="17" type="noConversion"/>
  </si>
  <si>
    <t>2-5</t>
    <phoneticPr fontId="17" type="noConversion"/>
  </si>
  <si>
    <t>1996-1997</t>
    <phoneticPr fontId="17" type="noConversion"/>
  </si>
  <si>
    <t>Hollis et al. 2010</t>
    <phoneticPr fontId="17" type="noConversion"/>
  </si>
  <si>
    <t>Hollis et al. 2010</t>
    <phoneticPr fontId="17" type="noConversion"/>
  </si>
  <si>
    <t>Yokelson et al. 2007</t>
    <phoneticPr fontId="17" type="noConversion"/>
  </si>
  <si>
    <t>6-18</t>
    <phoneticPr fontId="17" type="noConversion"/>
  </si>
  <si>
    <t>Ward et al. 1992</t>
    <phoneticPr fontId="17" type="noConversion"/>
  </si>
  <si>
    <t>Fearnside et al. 1993</t>
    <phoneticPr fontId="17" type="noConversion"/>
  </si>
  <si>
    <t>Kauffman et al. 1993</t>
    <phoneticPr fontId="17" type="noConversion"/>
  </si>
  <si>
    <t>Dicot litter</t>
    <phoneticPr fontId="17" type="noConversion"/>
  </si>
  <si>
    <t>Campo Sujo</t>
  </si>
  <si>
    <t>Total Biome</t>
    <phoneticPr fontId="17" type="noConversion"/>
  </si>
  <si>
    <t>Total South America</t>
    <phoneticPr fontId="17" type="noConversion"/>
  </si>
  <si>
    <t>-</t>
    <phoneticPr fontId="17" type="noConversion"/>
  </si>
  <si>
    <t>Total</t>
    <phoneticPr fontId="17" type="noConversion"/>
  </si>
  <si>
    <t>Total Africa</t>
    <phoneticPr fontId="17" type="noConversion"/>
  </si>
  <si>
    <t>10-3</t>
    <phoneticPr fontId="17" type="noConversion"/>
  </si>
  <si>
    <t>9-10</t>
    <phoneticPr fontId="17" type="noConversion"/>
  </si>
  <si>
    <t>5-10</t>
    <phoneticPr fontId="17" type="noConversion"/>
  </si>
  <si>
    <t>Mixture of crop types</t>
    <phoneticPr fontId="17" type="noConversion"/>
  </si>
  <si>
    <t>40N</t>
    <phoneticPr fontId="17" type="noConversion"/>
  </si>
  <si>
    <t>98E</t>
    <phoneticPr fontId="17" type="noConversion"/>
  </si>
  <si>
    <t>117.18E</t>
    <phoneticPr fontId="17" type="noConversion"/>
  </si>
  <si>
    <t>46.73N</t>
    <phoneticPr fontId="17" type="noConversion"/>
  </si>
  <si>
    <t>Woody debris (2.54-7.6cm)</t>
    <phoneticPr fontId="17" type="noConversion"/>
  </si>
  <si>
    <t>9-10</t>
    <phoneticPr fontId="17" type="noConversion"/>
  </si>
  <si>
    <t>4-26</t>
    <phoneticPr fontId="17" type="noConversion"/>
  </si>
  <si>
    <t>Kauffman et al. 1995</t>
    <phoneticPr fontId="17" type="noConversion"/>
  </si>
  <si>
    <t>1990-1991</t>
    <phoneticPr fontId="17" type="noConversion"/>
  </si>
  <si>
    <t>4-9</t>
    <phoneticPr fontId="17" type="noConversion"/>
  </si>
  <si>
    <t>Rossiter et al. 2003</t>
    <phoneticPr fontId="17" type="noConversion"/>
  </si>
  <si>
    <t>Rossiter et al. 2004</t>
    <phoneticPr fontId="17" type="noConversion"/>
  </si>
  <si>
    <t>Gill et al. 1990</t>
    <phoneticPr fontId="17" type="noConversion"/>
  </si>
  <si>
    <t>Hassett et al. 2000</t>
    <phoneticPr fontId="17" type="noConversion"/>
  </si>
  <si>
    <t>Hurst Grifith and Cook 1994</t>
    <phoneticPr fontId="17" type="noConversion"/>
  </si>
  <si>
    <t>Mott &amp; Andrew 1985</t>
    <phoneticPr fontId="17" type="noConversion"/>
  </si>
  <si>
    <t>Rose unpublished personal Comm</t>
    <phoneticPr fontId="17" type="noConversion"/>
  </si>
  <si>
    <t>Stromgaard et al. 1985</t>
    <phoneticPr fontId="17" type="noConversion"/>
  </si>
  <si>
    <t>Guild et al. 1998</t>
    <phoneticPr fontId="17" type="noConversion"/>
  </si>
  <si>
    <t>Righi et al. 2009</t>
    <phoneticPr fontId="17" type="noConversion"/>
  </si>
  <si>
    <t>Rossiter et al., 2003</t>
    <phoneticPr fontId="17" type="noConversion"/>
  </si>
  <si>
    <t>Turetsky et al. 2011</t>
    <phoneticPr fontId="17" type="noConversion"/>
  </si>
  <si>
    <t>Russell-Smith et al. 1998</t>
    <phoneticPr fontId="17" type="noConversion"/>
  </si>
  <si>
    <t>Russell-Smith et al. 2003</t>
    <phoneticPr fontId="17" type="noConversion"/>
  </si>
  <si>
    <t>Wallmer 1994</t>
    <phoneticPr fontId="17" type="noConversion"/>
  </si>
  <si>
    <t>White 1998</t>
    <phoneticPr fontId="17" type="noConversion"/>
  </si>
  <si>
    <t>Williams pers Comm</t>
    <phoneticPr fontId="17" type="noConversion"/>
  </si>
  <si>
    <t>Yibarbuk et al. 2001</t>
    <phoneticPr fontId="17" type="noConversion"/>
  </si>
  <si>
    <t>Turetsky and Wieder 2001</t>
    <phoneticPr fontId="17" type="noConversion"/>
  </si>
  <si>
    <t>Benscoter and Wieder 2003</t>
    <phoneticPr fontId="17" type="noConversion"/>
  </si>
  <si>
    <t>5-6</t>
    <phoneticPr fontId="17" type="noConversion"/>
  </si>
  <si>
    <t>Page et al. 2002</t>
    <phoneticPr fontId="17" type="noConversion"/>
  </si>
  <si>
    <t>6-8</t>
    <phoneticPr fontId="17" type="noConversion"/>
  </si>
  <si>
    <t>5-26</t>
    <phoneticPr fontId="17" type="noConversion"/>
  </si>
  <si>
    <t>Hely et al. 2003</t>
    <phoneticPr fontId="17" type="noConversion"/>
  </si>
  <si>
    <t>Savadogo et al. 2007</t>
    <phoneticPr fontId="17" type="noConversion"/>
  </si>
  <si>
    <t>11-12</t>
    <phoneticPr fontId="17" type="noConversion"/>
  </si>
  <si>
    <t>Ward et al. 1992</t>
    <phoneticPr fontId="17" type="noConversion"/>
  </si>
  <si>
    <t>Bilboa and Medina 1996</t>
    <phoneticPr fontId="17" type="noConversion"/>
  </si>
  <si>
    <t>Stocks 1989</t>
    <phoneticPr fontId="17" type="noConversion"/>
  </si>
  <si>
    <t>Cofer III et al. 1998</t>
    <phoneticPr fontId="17" type="noConversion"/>
  </si>
  <si>
    <t>6-7</t>
    <phoneticPr fontId="17" type="noConversion"/>
  </si>
  <si>
    <t>Peat &amp; Overstory</t>
    <phoneticPr fontId="17" type="noConversion"/>
  </si>
  <si>
    <t>Peat only</t>
    <phoneticPr fontId="17" type="noConversion"/>
  </si>
  <si>
    <t>Litter</t>
    <phoneticPr fontId="17" type="noConversion"/>
  </si>
  <si>
    <t>Grass-dormant</t>
    <phoneticPr fontId="17" type="noConversion"/>
  </si>
  <si>
    <t>Grass-green</t>
    <phoneticPr fontId="17" type="noConversion"/>
  </si>
  <si>
    <t>&gt;1997</t>
    <phoneticPr fontId="17" type="noConversion"/>
  </si>
  <si>
    <t xml:space="preserve">Usup et al. 2004 </t>
    <phoneticPr fontId="17" type="noConversion"/>
  </si>
  <si>
    <t>Saharjo and Nurhayati 2006</t>
    <phoneticPr fontId="17" type="noConversion"/>
  </si>
  <si>
    <t>2001-2002</t>
    <phoneticPr fontId="17" type="noConversion"/>
  </si>
  <si>
    <t>7-8</t>
    <phoneticPr fontId="17" type="noConversion"/>
  </si>
  <si>
    <t>Ballhorn et al. 2009</t>
    <phoneticPr fontId="17" type="noConversion"/>
  </si>
  <si>
    <t>Cofer III et al. 1988</t>
    <phoneticPr fontId="17" type="noConversion"/>
  </si>
  <si>
    <t>Hardy et al. 1996</t>
    <phoneticPr fontId="17" type="noConversion"/>
  </si>
  <si>
    <t>Zarate et al. 2005</t>
    <phoneticPr fontId="17" type="noConversion"/>
  </si>
  <si>
    <t>Lara et al. 2005</t>
    <phoneticPr fontId="17" type="noConversion"/>
  </si>
  <si>
    <t>1997-1998</t>
    <phoneticPr fontId="17" type="noConversion"/>
  </si>
  <si>
    <t xml:space="preserve">Focus on Fuel Consumption &amp; Fuel Load data </t>
    <phoneticPr fontId="17" type="noConversion"/>
  </si>
  <si>
    <t>Focus on Fuel Consumption data</t>
  </si>
  <si>
    <t>Focus on Fuel Consumption &amp; Fuel Load data</t>
  </si>
  <si>
    <t>15-16</t>
    <phoneticPr fontId="17" type="noConversion"/>
  </si>
  <si>
    <t>-</t>
    <phoneticPr fontId="17" type="noConversion"/>
  </si>
  <si>
    <t>-</t>
    <phoneticPr fontId="17" type="noConversion"/>
  </si>
  <si>
    <t>Ottmar and Sandberg 2010</t>
    <phoneticPr fontId="17" type="noConversion"/>
  </si>
  <si>
    <t>9-27</t>
    <phoneticPr fontId="17" type="noConversion"/>
  </si>
  <si>
    <t>-</t>
    <phoneticPr fontId="17" type="noConversion"/>
  </si>
  <si>
    <t>-</t>
    <phoneticPr fontId="17" type="noConversion"/>
  </si>
  <si>
    <t>Goode et al. 2000</t>
    <phoneticPr fontId="17" type="noConversion"/>
  </si>
  <si>
    <t>Kasischke et al. 2000</t>
    <phoneticPr fontId="17" type="noConversion"/>
  </si>
  <si>
    <t>Stocks et al. 2004</t>
    <phoneticPr fontId="17" type="noConversion"/>
  </si>
  <si>
    <t>1997-2000</t>
    <phoneticPr fontId="17" type="noConversion"/>
  </si>
  <si>
    <t>1-29</t>
    <phoneticPr fontId="17" type="noConversion"/>
  </si>
  <si>
    <t>Harden et al. 2006</t>
    <phoneticPr fontId="17" type="noConversion"/>
  </si>
  <si>
    <t>de Groot et al. 2007</t>
    <phoneticPr fontId="17" type="noConversion"/>
  </si>
  <si>
    <t>Kane et al. 2007</t>
    <phoneticPr fontId="17" type="noConversion"/>
  </si>
  <si>
    <t>25-27</t>
    <phoneticPr fontId="17" type="noConversion"/>
  </si>
  <si>
    <t>de Groot et al. 2009</t>
    <phoneticPr fontId="17" type="noConversion"/>
  </si>
  <si>
    <t>de Groot et al. 2009</t>
    <phoneticPr fontId="17" type="noConversion"/>
  </si>
  <si>
    <t>Russell-Smith et al. 2009</t>
    <phoneticPr fontId="17" type="noConversion"/>
  </si>
  <si>
    <t>Meyer et al. 2012</t>
    <phoneticPr fontId="17" type="noConversion"/>
  </si>
  <si>
    <t>Prasad et al. 2001</t>
    <phoneticPr fontId="17" type="noConversion"/>
  </si>
  <si>
    <t>5-10</t>
    <phoneticPr fontId="17" type="noConversion"/>
  </si>
  <si>
    <t xml:space="preserve">Focus on Fuel Consumption data </t>
    <phoneticPr fontId="17" type="noConversion"/>
  </si>
  <si>
    <t>Jaramillo et al. 2003</t>
    <phoneticPr fontId="17" type="noConversion"/>
  </si>
  <si>
    <t>1993-1995</t>
    <phoneticPr fontId="17" type="noConversion"/>
  </si>
  <si>
    <t>4-10</t>
    <phoneticPr fontId="17" type="noConversion"/>
  </si>
  <si>
    <t>24</t>
    <phoneticPr fontId="17" type="noConversion"/>
  </si>
  <si>
    <t>Snyder 1986</t>
    <phoneticPr fontId="17" type="noConversion"/>
  </si>
  <si>
    <t>Rootmat</t>
    <phoneticPr fontId="17" type="noConversion"/>
  </si>
  <si>
    <t>Ground (litter, organic soils)</t>
    <phoneticPr fontId="17" type="noConversion"/>
  </si>
  <si>
    <t>Crown</t>
    <phoneticPr fontId="17" type="noConversion"/>
  </si>
  <si>
    <t>Turetsky er al., 2011: Recent acceleration of biomass burning and carbon losses in Alaskan forests and peatlands, Nature Geoscience Letters</t>
    <phoneticPr fontId="17" type="noConversion"/>
  </si>
  <si>
    <t>72.2</t>
    <phoneticPr fontId="17" type="noConversion"/>
  </si>
  <si>
    <t>FIRESCAN Science Team 1996</t>
    <phoneticPr fontId="17" type="noConversion"/>
  </si>
  <si>
    <t>Ivanova et al. 2011</t>
    <phoneticPr fontId="17" type="noConversion"/>
  </si>
  <si>
    <t>Carter et al. 2003</t>
    <phoneticPr fontId="17" type="noConversion"/>
  </si>
  <si>
    <t>Carvalho et al. 2001</t>
    <phoneticPr fontId="17" type="noConversion"/>
  </si>
  <si>
    <t>Christian et al. 2007</t>
    <phoneticPr fontId="17" type="noConversion"/>
  </si>
  <si>
    <t>8-9</t>
    <phoneticPr fontId="17" type="noConversion"/>
  </si>
  <si>
    <t>Hurst et al. 1996</t>
    <phoneticPr fontId="17" type="noConversion"/>
  </si>
  <si>
    <t>Panton 1993</t>
    <phoneticPr fontId="17" type="noConversion"/>
  </si>
  <si>
    <t>Russell-Smith et al. 2004</t>
    <phoneticPr fontId="17" type="noConversion"/>
  </si>
  <si>
    <t>Scholes et al. 2011</t>
    <phoneticPr fontId="17" type="noConversion"/>
  </si>
  <si>
    <t>Cook 2003</t>
    <phoneticPr fontId="17" type="noConversion"/>
  </si>
  <si>
    <t>1990-1999</t>
    <phoneticPr fontId="17" type="noConversion"/>
  </si>
  <si>
    <t>Williams et al. 1998</t>
    <phoneticPr fontId="17" type="noConversion"/>
  </si>
  <si>
    <t>1990-1994</t>
    <phoneticPr fontId="17" type="noConversion"/>
  </si>
  <si>
    <t>Douglas &amp; O Conner 2004</t>
    <phoneticPr fontId="17" type="noConversion"/>
  </si>
  <si>
    <t>Douglas et al. 2004</t>
    <phoneticPr fontId="17" type="noConversion"/>
  </si>
  <si>
    <t>Dyer 2001</t>
    <phoneticPr fontId="17" type="noConversion"/>
  </si>
  <si>
    <t>Coastal sage shrub</t>
  </si>
  <si>
    <t>Maritime chaparral</t>
  </si>
  <si>
    <t>Hille and Stephens, 2005: Mixed conifer forest duff consumption during prescribed fires: tree crown impacts, Forest Science, 51(5)</t>
  </si>
  <si>
    <t>Kasama, Nortern Zambia</t>
  </si>
  <si>
    <t>Stems</t>
  </si>
  <si>
    <t>Shifting Cultivation, Miombo chopped 16 years ago</t>
  </si>
  <si>
    <t>Leaves and Branches</t>
  </si>
  <si>
    <t>Shifting Cultivation, Miombo regrowth</t>
  </si>
  <si>
    <t>Total</t>
  </si>
  <si>
    <t>Total Shifting Cultivation</t>
  </si>
  <si>
    <t>Pine Understory</t>
  </si>
  <si>
    <r>
      <t xml:space="preserve">Total </t>
    </r>
    <r>
      <rPr>
        <b/>
        <sz val="10"/>
        <rFont val="Verdana"/>
      </rPr>
      <t>grassland savanna</t>
    </r>
  </si>
  <si>
    <r>
      <t>Total wood</t>
    </r>
    <r>
      <rPr>
        <b/>
        <sz val="10"/>
        <rFont val="Verdana"/>
      </rPr>
      <t>ed savanna</t>
    </r>
  </si>
  <si>
    <r>
      <t>Total grassland</t>
    </r>
    <r>
      <rPr>
        <b/>
        <sz val="10"/>
        <rFont val="Verdana"/>
      </rPr>
      <t xml:space="preserve"> savanna</t>
    </r>
  </si>
  <si>
    <t>Yokelson et al., 2013: Coupling field and laboratory measurements to estimate the emission factors of identified and unidentified trace gases for prescribed fires</t>
  </si>
  <si>
    <t>Vandenberg, California, USA</t>
  </si>
  <si>
    <t>Understory</t>
  </si>
  <si>
    <t>Camp Lejeune, North Carolina, USA</t>
  </si>
  <si>
    <t>34.63N</t>
  </si>
  <si>
    <t>77.40W</t>
  </si>
  <si>
    <t>34.73N</t>
  </si>
  <si>
    <t>120.57W</t>
  </si>
  <si>
    <t>34.01N</t>
  </si>
  <si>
    <t>80.72W</t>
  </si>
  <si>
    <t>Fort Jackson, South Carolina, USA</t>
  </si>
  <si>
    <t>Organic Soil</t>
  </si>
  <si>
    <t>SC</t>
  </si>
  <si>
    <t>Yokelson et al. 2013</t>
  </si>
  <si>
    <t>1997-2010</t>
  </si>
  <si>
    <t>2-4</t>
  </si>
  <si>
    <t>10-11</t>
  </si>
  <si>
    <t>1-26</t>
  </si>
  <si>
    <t>1-30</t>
  </si>
  <si>
    <t>Rice straw</t>
  </si>
  <si>
    <t>Field 8</t>
  </si>
  <si>
    <t>Field 9</t>
  </si>
  <si>
    <t>Field 10</t>
  </si>
  <si>
    <t>Field 11</t>
  </si>
  <si>
    <t>11-19</t>
  </si>
  <si>
    <t>Pathumthani, Thailand</t>
  </si>
  <si>
    <t>14N</t>
  </si>
  <si>
    <t>100.05E</t>
  </si>
  <si>
    <t>Oanh et al., 2011: Characterization of particulate matter emission from open burning of rice straw</t>
  </si>
  <si>
    <t>Oanh et al. 2011</t>
  </si>
  <si>
    <t>2006</t>
  </si>
  <si>
    <t>1</t>
  </si>
  <si>
    <t>6,4</t>
  </si>
  <si>
    <t>11</t>
  </si>
  <si>
    <t>16</t>
  </si>
  <si>
    <t>19</t>
  </si>
  <si>
    <t>7,3</t>
  </si>
  <si>
    <t>7,8</t>
  </si>
  <si>
    <t>5,3</t>
  </si>
  <si>
    <t>Christian et al., 2003: Comprehensive laboratory measurements of biomass-burning emissions: 1. Emissions from Indonesian, African, and other fuels.</t>
  </si>
  <si>
    <t>Indonesia</t>
  </si>
  <si>
    <t>Indopeat</t>
  </si>
  <si>
    <t>Total peat</t>
  </si>
  <si>
    <t>Christian et al. 2003</t>
  </si>
  <si>
    <t>23,1</t>
  </si>
  <si>
    <t>Total Biome</t>
  </si>
  <si>
    <r>
      <t>Total</t>
    </r>
    <r>
      <rPr>
        <b/>
        <sz val="10"/>
        <rFont val="Verdana"/>
      </rPr>
      <t xml:space="preserve"> Biome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</si>
</sst>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name val="Calibri"/>
    </font>
    <font>
      <b/>
      <sz val="12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Verdana"/>
    </font>
    <font>
      <sz val="9"/>
      <color indexed="81"/>
      <name val="Verdana"/>
    </font>
    <font>
      <b/>
      <sz val="9"/>
      <color indexed="81"/>
      <name val="Verdana"/>
    </font>
    <font>
      <sz val="10"/>
      <color indexed="53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2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05F9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</borders>
  <cellStyleXfs count="249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57">
    <xf numFmtId="0" fontId="0" fillId="0" borderId="0" xfId="0"/>
    <xf numFmtId="0" fontId="0" fillId="0" borderId="0" xfId="0" applyFill="1" applyBorder="1"/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left" vertical="center"/>
    </xf>
    <xf numFmtId="16" fontId="16" fillId="3" borderId="8" xfId="0" applyNumberFormat="1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/>
    <xf numFmtId="0" fontId="18" fillId="2" borderId="2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0" fontId="16" fillId="3" borderId="7" xfId="0" applyFont="1" applyFill="1" applyBorder="1" applyAlignment="1">
      <alignment horizontal="left" vertical="center"/>
    </xf>
    <xf numFmtId="0" fontId="0" fillId="0" borderId="0" xfId="0" applyBorder="1"/>
    <xf numFmtId="0" fontId="0" fillId="3" borderId="1" xfId="0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" fontId="0" fillId="3" borderId="2" xfId="0" applyNumberForma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9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0" fontId="15" fillId="3" borderId="23" xfId="0" applyFont="1" applyFill="1" applyBorder="1"/>
    <xf numFmtId="0" fontId="18" fillId="2" borderId="7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16" fontId="0" fillId="0" borderId="0" xfId="0" applyNumberForma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left"/>
    </xf>
    <xf numFmtId="0" fontId="21" fillId="3" borderId="18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1" fillId="3" borderId="16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21" fillId="3" borderId="21" xfId="0" applyFont="1" applyFill="1" applyBorder="1" applyAlignment="1">
      <alignment horizontal="center"/>
    </xf>
    <xf numFmtId="0" fontId="21" fillId="3" borderId="2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0" fillId="0" borderId="0" xfId="0" applyFill="1"/>
    <xf numFmtId="0" fontId="2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>
      <alignment horizontal="left"/>
    </xf>
    <xf numFmtId="0" fontId="0" fillId="4" borderId="0" xfId="0" applyFill="1" applyBorder="1"/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0" fillId="3" borderId="2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8" fillId="0" borderId="12" xfId="0" applyFont="1" applyFill="1" applyBorder="1"/>
    <xf numFmtId="0" fontId="20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20" fillId="0" borderId="0" xfId="0" applyFont="1" applyFill="1"/>
    <xf numFmtId="0" fontId="0" fillId="3" borderId="2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/>
    </xf>
    <xf numFmtId="0" fontId="13" fillId="3" borderId="24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26" xfId="0" applyNumberFormat="1" applyFont="1" applyFill="1" applyBorder="1" applyAlignment="1">
      <alignment horizontal="center"/>
    </xf>
    <xf numFmtId="0" fontId="13" fillId="3" borderId="2" xfId="0" applyNumberFormat="1" applyFont="1" applyFill="1" applyBorder="1" applyAlignment="1">
      <alignment horizontal="center"/>
    </xf>
    <xf numFmtId="16" fontId="0" fillId="3" borderId="6" xfId="0" applyNumberFormat="1" applyFill="1" applyBorder="1" applyAlignment="1">
      <alignment horizontal="left"/>
    </xf>
    <xf numFmtId="0" fontId="13" fillId="3" borderId="15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13" fillId="3" borderId="1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1" xfId="0" applyNumberFormat="1" applyFont="1" applyFill="1" applyBorder="1" applyAlignment="1">
      <alignment horizontal="center"/>
    </xf>
    <xf numFmtId="0" fontId="13" fillId="3" borderId="22" xfId="0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18" fillId="3" borderId="2" xfId="0" applyFont="1" applyFill="1" applyBorder="1"/>
    <xf numFmtId="0" fontId="18" fillId="3" borderId="2" xfId="0" applyFont="1" applyFill="1" applyBorder="1" applyAlignment="1">
      <alignment horizontal="center"/>
    </xf>
    <xf numFmtId="0" fontId="20" fillId="3" borderId="2" xfId="0" applyFont="1" applyFill="1" applyBorder="1"/>
    <xf numFmtId="0" fontId="18" fillId="3" borderId="2" xfId="0" applyFont="1" applyFill="1" applyBorder="1" applyAlignment="1">
      <alignment horizontal="left"/>
    </xf>
    <xf numFmtId="0" fontId="20" fillId="3" borderId="1" xfId="0" applyFont="1" applyFill="1" applyBorder="1"/>
    <xf numFmtId="0" fontId="18" fillId="3" borderId="6" xfId="0" applyFont="1" applyFill="1" applyBorder="1" applyAlignment="1">
      <alignment horizontal="left"/>
    </xf>
    <xf numFmtId="0" fontId="21" fillId="3" borderId="3" xfId="0" applyFont="1" applyFill="1" applyBorder="1"/>
    <xf numFmtId="0" fontId="19" fillId="3" borderId="4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20" fillId="3" borderId="7" xfId="0" applyFont="1" applyFill="1" applyBorder="1"/>
    <xf numFmtId="0" fontId="19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/>
    <xf numFmtId="0" fontId="0" fillId="0" borderId="0" xfId="0" applyFill="1" applyBorder="1" applyAlignment="1">
      <alignment horizontal="center" vertical="center"/>
    </xf>
    <xf numFmtId="0" fontId="0" fillId="0" borderId="14" xfId="0" applyFill="1" applyBorder="1"/>
    <xf numFmtId="0" fontId="0" fillId="0" borderId="11" xfId="0" applyFill="1" applyBorder="1"/>
    <xf numFmtId="0" fontId="18" fillId="0" borderId="11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12" xfId="0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/>
    </xf>
    <xf numFmtId="0" fontId="19" fillId="3" borderId="15" xfId="0" applyFont="1" applyFill="1" applyBorder="1" applyAlignment="1">
      <alignment horizontal="left"/>
    </xf>
    <xf numFmtId="0" fontId="19" fillId="3" borderId="16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8" fillId="6" borderId="2" xfId="0" applyFont="1" applyFill="1" applyBorder="1"/>
    <xf numFmtId="0" fontId="0" fillId="6" borderId="2" xfId="0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2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64" fontId="18" fillId="6" borderId="2" xfId="0" applyNumberFormat="1" applyFont="1" applyFill="1" applyBorder="1" applyAlignment="1">
      <alignment horizontal="center"/>
    </xf>
    <xf numFmtId="0" fontId="18" fillId="6" borderId="2" xfId="0" quotePrefix="1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0" fillId="3" borderId="28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/>
    </xf>
    <xf numFmtId="0" fontId="20" fillId="6" borderId="2" xfId="0" applyFont="1" applyFill="1" applyBorder="1"/>
    <xf numFmtId="0" fontId="0" fillId="6" borderId="7" xfId="0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left"/>
    </xf>
    <xf numFmtId="164" fontId="18" fillId="6" borderId="7" xfId="0" applyNumberFormat="1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20" fillId="6" borderId="6" xfId="0" applyFont="1" applyFill="1" applyBorder="1"/>
    <xf numFmtId="0" fontId="21" fillId="6" borderId="15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/>
    </xf>
    <xf numFmtId="0" fontId="21" fillId="6" borderId="21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2" fontId="18" fillId="6" borderId="7" xfId="0" applyNumberFormat="1" applyFont="1" applyFill="1" applyBorder="1" applyAlignment="1">
      <alignment horizontal="center"/>
    </xf>
    <xf numFmtId="2" fontId="19" fillId="6" borderId="4" xfId="0" applyNumberFormat="1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20" fillId="6" borderId="1" xfId="0" applyFont="1" applyFill="1" applyBorder="1"/>
    <xf numFmtId="0" fontId="18" fillId="6" borderId="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center"/>
    </xf>
    <xf numFmtId="0" fontId="18" fillId="6" borderId="3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21" fillId="6" borderId="25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164" fontId="19" fillId="6" borderId="24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/>
    </xf>
    <xf numFmtId="164" fontId="19" fillId="6" borderId="4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1" fillId="3" borderId="16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21" xfId="0" applyFill="1" applyBorder="1" applyAlignment="1">
      <alignment horizontal="left" vertical="center"/>
    </xf>
    <xf numFmtId="0" fontId="20" fillId="3" borderId="21" xfId="0" applyFont="1" applyFill="1" applyBorder="1" applyAlignment="1">
      <alignment horizontal="left"/>
    </xf>
    <xf numFmtId="0" fontId="21" fillId="3" borderId="21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3" borderId="34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center"/>
    </xf>
    <xf numFmtId="164" fontId="18" fillId="3" borderId="7" xfId="0" applyNumberFormat="1" applyFont="1" applyFill="1" applyBorder="1" applyAlignment="1">
      <alignment horizontal="center"/>
    </xf>
    <xf numFmtId="164" fontId="19" fillId="3" borderId="4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9" borderId="11" xfId="0" applyFill="1" applyBorder="1" applyAlignment="1">
      <alignment horizontal="left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21" fillId="9" borderId="0" xfId="0" applyFont="1" applyFill="1" applyBorder="1" applyAlignment="1">
      <alignment horizontal="left"/>
    </xf>
    <xf numFmtId="0" fontId="21" fillId="9" borderId="0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1" xfId="0" applyFill="1" applyBorder="1"/>
    <xf numFmtId="0" fontId="18" fillId="9" borderId="11" xfId="0" applyFont="1" applyFill="1" applyBorder="1"/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/>
    <xf numFmtId="0" fontId="18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left"/>
    </xf>
    <xf numFmtId="164" fontId="18" fillId="9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10" borderId="11" xfId="0" applyFont="1" applyFill="1" applyBorder="1"/>
    <xf numFmtId="0" fontId="18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20" fillId="10" borderId="0" xfId="0" applyFont="1" applyFill="1" applyAlignment="1">
      <alignment horizontal="center"/>
    </xf>
    <xf numFmtId="0" fontId="20" fillId="10" borderId="0" xfId="0" applyFont="1" applyFill="1" applyBorder="1"/>
    <xf numFmtId="0" fontId="0" fillId="10" borderId="0" xfId="0" applyFill="1" applyAlignment="1">
      <alignment horizontal="center"/>
    </xf>
    <xf numFmtId="0" fontId="20" fillId="10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left"/>
    </xf>
    <xf numFmtId="164" fontId="18" fillId="10" borderId="0" xfId="0" applyNumberFormat="1" applyFont="1" applyFill="1" applyBorder="1" applyAlignment="1">
      <alignment horizontal="center"/>
    </xf>
    <xf numFmtId="0" fontId="0" fillId="10" borderId="0" xfId="0" applyFill="1"/>
    <xf numFmtId="0" fontId="12" fillId="10" borderId="0" xfId="0" applyFont="1" applyFill="1" applyBorder="1" applyAlignment="1">
      <alignment horizontal="center"/>
    </xf>
    <xf numFmtId="2" fontId="18" fillId="10" borderId="0" xfId="0" applyNumberFormat="1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10" borderId="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 vertical="center"/>
    </xf>
    <xf numFmtId="0" fontId="13" fillId="10" borderId="0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7" fillId="3" borderId="2" xfId="0" applyFont="1" applyFill="1" applyBorder="1"/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left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0" fontId="0" fillId="3" borderId="1" xfId="0" applyFill="1" applyBorder="1"/>
    <xf numFmtId="0" fontId="0" fillId="3" borderId="15" xfId="0" applyFill="1" applyBorder="1"/>
    <xf numFmtId="0" fontId="0" fillId="3" borderId="18" xfId="0" applyFill="1" applyBorder="1" applyAlignment="1">
      <alignment vertical="center"/>
    </xf>
    <xf numFmtId="0" fontId="0" fillId="3" borderId="18" xfId="0" applyFill="1" applyBorder="1"/>
    <xf numFmtId="0" fontId="0" fillId="3" borderId="20" xfId="0" applyFill="1" applyBorder="1"/>
    <xf numFmtId="0" fontId="0" fillId="9" borderId="0" xfId="0" applyNumberForma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left"/>
    </xf>
    <xf numFmtId="0" fontId="20" fillId="9" borderId="0" xfId="0" applyFont="1" applyFill="1" applyBorder="1" applyAlignment="1">
      <alignment horizontal="left"/>
    </xf>
    <xf numFmtId="16" fontId="0" fillId="9" borderId="0" xfId="0" applyNumberForma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left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5" xfId="0" applyFont="1" applyFill="1" applyBorder="1"/>
    <xf numFmtId="0" fontId="10" fillId="9" borderId="18" xfId="0" applyFont="1" applyFill="1" applyBorder="1"/>
    <xf numFmtId="0" fontId="10" fillId="9" borderId="2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20" xfId="0" applyFont="1" applyFill="1" applyBorder="1"/>
    <xf numFmtId="0" fontId="10" fillId="9" borderId="21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6" fillId="0" borderId="0" xfId="0" applyFont="1" applyFill="1" applyBorder="1"/>
    <xf numFmtId="0" fontId="5" fillId="9" borderId="15" xfId="0" applyFont="1" applyFill="1" applyBorder="1"/>
    <xf numFmtId="0" fontId="5" fillId="9" borderId="16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left"/>
    </xf>
    <xf numFmtId="0" fontId="10" fillId="9" borderId="20" xfId="0" applyFont="1" applyFill="1" applyBorder="1" applyAlignment="1">
      <alignment horizontal="left"/>
    </xf>
    <xf numFmtId="0" fontId="13" fillId="9" borderId="2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0" fillId="10" borderId="15" xfId="0" applyFont="1" applyFill="1" applyBorder="1"/>
    <xf numFmtId="0" fontId="10" fillId="10" borderId="16" xfId="0" applyFont="1" applyFill="1" applyBorder="1" applyAlignment="1">
      <alignment horizontal="center"/>
    </xf>
    <xf numFmtId="164" fontId="10" fillId="10" borderId="16" xfId="0" applyNumberFormat="1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10" fillId="10" borderId="18" xfId="0" applyFont="1" applyFill="1" applyBorder="1"/>
    <xf numFmtId="0" fontId="10" fillId="10" borderId="2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164" fontId="10" fillId="10" borderId="2" xfId="0" applyNumberFormat="1" applyFont="1" applyFill="1" applyBorder="1" applyAlignment="1">
      <alignment horizontal="center"/>
    </xf>
    <xf numFmtId="0" fontId="13" fillId="10" borderId="21" xfId="0" applyFont="1" applyFill="1" applyBorder="1" applyAlignment="1">
      <alignment horizontal="center"/>
    </xf>
    <xf numFmtId="164" fontId="13" fillId="10" borderId="21" xfId="0" applyNumberFormat="1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164" fontId="10" fillId="9" borderId="16" xfId="0" applyNumberFormat="1" applyFont="1" applyFill="1" applyBorder="1" applyAlignment="1">
      <alignment horizontal="center"/>
    </xf>
    <xf numFmtId="164" fontId="10" fillId="9" borderId="2" xfId="0" applyNumberFormat="1" applyFont="1" applyFill="1" applyBorder="1" applyAlignment="1">
      <alignment horizontal="center"/>
    </xf>
    <xf numFmtId="0" fontId="13" fillId="9" borderId="20" xfId="0" applyFont="1" applyFill="1" applyBorder="1" applyAlignment="1">
      <alignment horizontal="left"/>
    </xf>
    <xf numFmtId="164" fontId="13" fillId="9" borderId="21" xfId="0" applyNumberFormat="1" applyFont="1" applyFill="1" applyBorder="1" applyAlignment="1">
      <alignment horizontal="center"/>
    </xf>
    <xf numFmtId="0" fontId="25" fillId="9" borderId="0" xfId="0" applyFont="1" applyFill="1" applyBorder="1" applyAlignment="1">
      <alignment horizontal="left"/>
    </xf>
    <xf numFmtId="0" fontId="25" fillId="9" borderId="0" xfId="0" applyFont="1" applyFill="1" applyBorder="1" applyAlignment="1">
      <alignment horizontal="left" vertical="center"/>
    </xf>
    <xf numFmtId="0" fontId="0" fillId="3" borderId="37" xfId="0" applyFill="1" applyBorder="1" applyAlignment="1">
      <alignment horizontal="left"/>
    </xf>
    <xf numFmtId="0" fontId="0" fillId="3" borderId="13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3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3" borderId="7" xfId="0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" fontId="3" fillId="0" borderId="1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13" fillId="9" borderId="0" xfId="0" applyFont="1" applyFill="1" applyAlignment="1">
      <alignment horizontal="center"/>
    </xf>
    <xf numFmtId="0" fontId="13" fillId="9" borderId="15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9" borderId="18" xfId="0" applyFont="1" applyFill="1" applyBorder="1" applyAlignment="1">
      <alignment horizontal="left"/>
    </xf>
    <xf numFmtId="0" fontId="13" fillId="9" borderId="34" xfId="0" applyFont="1" applyFill="1" applyBorder="1" applyAlignment="1">
      <alignment horizontal="left"/>
    </xf>
    <xf numFmtId="0" fontId="13" fillId="9" borderId="35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/>
    </xf>
    <xf numFmtId="16" fontId="0" fillId="9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8" xfId="0" applyFont="1" applyFill="1" applyBorder="1"/>
    <xf numFmtId="0" fontId="5" fillId="9" borderId="19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16" fontId="16" fillId="3" borderId="0" xfId="0" applyNumberFormat="1" applyFont="1" applyFill="1" applyAlignment="1">
      <alignment horizontal="center" vertical="center"/>
    </xf>
    <xf numFmtId="0" fontId="19" fillId="11" borderId="2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center" vertical="center"/>
    </xf>
    <xf numFmtId="49" fontId="19" fillId="11" borderId="2" xfId="0" applyNumberFormat="1" applyFont="1" applyFill="1" applyBorder="1" applyAlignment="1">
      <alignment horizontal="center" vertical="center"/>
    </xf>
    <xf numFmtId="49" fontId="19" fillId="11" borderId="2" xfId="0" applyNumberFormat="1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left" vertical="center"/>
    </xf>
    <xf numFmtId="0" fontId="19" fillId="12" borderId="2" xfId="0" applyFont="1" applyFill="1" applyBorder="1" applyAlignment="1">
      <alignment horizontal="center" vertical="center"/>
    </xf>
    <xf numFmtId="49" fontId="19" fillId="12" borderId="2" xfId="0" applyNumberFormat="1" applyFont="1" applyFill="1" applyBorder="1" applyAlignment="1">
      <alignment horizontal="center"/>
    </xf>
    <xf numFmtId="49" fontId="19" fillId="12" borderId="2" xfId="0" applyNumberFormat="1" applyFont="1" applyFill="1" applyBorder="1" applyAlignment="1">
      <alignment horizontal="center" vertical="center"/>
    </xf>
    <xf numFmtId="0" fontId="19" fillId="12" borderId="2" xfId="0" applyNumberFormat="1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left"/>
    </xf>
    <xf numFmtId="0" fontId="19" fillId="12" borderId="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left"/>
    </xf>
    <xf numFmtId="0" fontId="19" fillId="8" borderId="2" xfId="0" applyFont="1" applyFill="1" applyBorder="1" applyAlignment="1">
      <alignment horizontal="center" vertical="center"/>
    </xf>
    <xf numFmtId="49" fontId="19" fillId="8" borderId="2" xfId="0" applyNumberFormat="1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9" fillId="8" borderId="2" xfId="0" applyFont="1" applyFill="1" applyBorder="1" applyAlignment="1">
      <alignment horizontal="left"/>
    </xf>
    <xf numFmtId="0" fontId="19" fillId="8" borderId="2" xfId="0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2" xfId="0" applyFont="1" applyFill="1" applyBorder="1"/>
    <xf numFmtId="0" fontId="19" fillId="13" borderId="2" xfId="0" applyFont="1" applyFill="1" applyBorder="1" applyAlignment="1">
      <alignment horizontal="left"/>
    </xf>
    <xf numFmtId="0" fontId="19" fillId="13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center" vertical="center"/>
    </xf>
    <xf numFmtId="0" fontId="19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49" fontId="19" fillId="10" borderId="2" xfId="0" applyNumberFormat="1" applyFont="1" applyFill="1" applyBorder="1" applyAlignment="1">
      <alignment horizontal="center"/>
    </xf>
    <xf numFmtId="0" fontId="19" fillId="10" borderId="2" xfId="0" applyFont="1" applyFill="1" applyBorder="1" applyAlignment="1"/>
    <xf numFmtId="0" fontId="21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/>
    </xf>
    <xf numFmtId="0" fontId="19" fillId="8" borderId="2" xfId="0" applyFont="1" applyFill="1" applyBorder="1" applyAlignment="1"/>
    <xf numFmtId="16" fontId="19" fillId="8" borderId="2" xfId="0" applyNumberFormat="1" applyFont="1" applyFill="1" applyBorder="1" applyAlignment="1">
      <alignment horizontal="center"/>
    </xf>
    <xf numFmtId="0" fontId="21" fillId="14" borderId="2" xfId="0" applyFont="1" applyFill="1" applyBorder="1" applyAlignment="1">
      <alignment horizontal="left"/>
    </xf>
    <xf numFmtId="0" fontId="19" fillId="14" borderId="2" xfId="0" applyFont="1" applyFill="1" applyBorder="1" applyAlignment="1">
      <alignment horizontal="center" vertical="center"/>
    </xf>
    <xf numFmtId="49" fontId="19" fillId="14" borderId="2" xfId="0" applyNumberFormat="1" applyFont="1" applyFill="1" applyBorder="1" applyAlignment="1">
      <alignment horizontal="center"/>
    </xf>
    <xf numFmtId="0" fontId="19" fillId="14" borderId="2" xfId="0" applyNumberFormat="1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left"/>
    </xf>
    <xf numFmtId="0" fontId="19" fillId="1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49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/>
    <xf numFmtId="49" fontId="19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64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0" fillId="15" borderId="0" xfId="0" applyFill="1" applyBorder="1"/>
    <xf numFmtId="0" fontId="0" fillId="15" borderId="0" xfId="0" applyFill="1"/>
    <xf numFmtId="0" fontId="0" fillId="15" borderId="0" xfId="0" applyFill="1" applyBorder="1" applyAlignment="1">
      <alignment horizontal="right"/>
    </xf>
    <xf numFmtId="0" fontId="0" fillId="15" borderId="0" xfId="0" applyFill="1" applyBorder="1" applyAlignment="1">
      <alignment horizontal="left"/>
    </xf>
    <xf numFmtId="0" fontId="21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/>
    <xf numFmtId="2" fontId="19" fillId="4" borderId="2" xfId="0" applyNumberFormat="1" applyFont="1" applyFill="1" applyBorder="1" applyAlignment="1">
      <alignment horizontal="center"/>
    </xf>
    <xf numFmtId="0" fontId="19" fillId="4" borderId="2" xfId="0" quotePrefix="1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 vertical="center"/>
    </xf>
    <xf numFmtId="49" fontId="19" fillId="13" borderId="2" xfId="0" applyNumberFormat="1" applyFont="1" applyFill="1" applyBorder="1" applyAlignment="1">
      <alignment horizontal="center"/>
    </xf>
    <xf numFmtId="16" fontId="19" fillId="13" borderId="2" xfId="0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left"/>
    </xf>
    <xf numFmtId="0" fontId="19" fillId="9" borderId="2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left"/>
    </xf>
    <xf numFmtId="0" fontId="19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18" fillId="15" borderId="0" xfId="0" applyFont="1" applyFill="1"/>
    <xf numFmtId="0" fontId="18" fillId="0" borderId="0" xfId="0" applyFont="1"/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/>
    <xf numFmtId="49" fontId="0" fillId="3" borderId="0" xfId="0" applyNumberFormat="1" applyFill="1" applyBorder="1" applyAlignment="1">
      <alignment horizontal="left"/>
    </xf>
    <xf numFmtId="49" fontId="0" fillId="3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9" borderId="18" xfId="0" applyFont="1" applyFill="1" applyBorder="1" applyAlignment="1">
      <alignment vertical="center"/>
    </xf>
    <xf numFmtId="0" fontId="5" fillId="9" borderId="20" xfId="0" applyFont="1" applyFill="1" applyBorder="1"/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10" fillId="9" borderId="3" xfId="0" applyFont="1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 applyAlignment="1">
      <alignment horizontal="left"/>
    </xf>
    <xf numFmtId="0" fontId="0" fillId="10" borderId="24" xfId="0" applyFill="1" applyBorder="1"/>
    <xf numFmtId="0" fontId="0" fillId="10" borderId="25" xfId="0" applyFill="1" applyBorder="1"/>
    <xf numFmtId="0" fontId="0" fillId="10" borderId="26" xfId="0" applyFill="1" applyBorder="1" applyAlignment="1">
      <alignment horizontal="left"/>
    </xf>
    <xf numFmtId="0" fontId="0" fillId="17" borderId="0" xfId="0" applyFill="1"/>
    <xf numFmtId="0" fontId="0" fillId="18" borderId="2" xfId="0" applyFill="1" applyBorder="1"/>
    <xf numFmtId="0" fontId="0" fillId="18" borderId="2" xfId="0" applyFill="1" applyBorder="1" applyAlignment="1">
      <alignment horizontal="left"/>
    </xf>
    <xf numFmtId="0" fontId="0" fillId="18" borderId="2" xfId="0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0" fillId="18" borderId="7" xfId="0" applyFill="1" applyBorder="1"/>
    <xf numFmtId="0" fontId="0" fillId="18" borderId="7" xfId="0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1" fillId="18" borderId="43" xfId="0" applyFont="1" applyFill="1" applyBorder="1"/>
    <xf numFmtId="0" fontId="1" fillId="18" borderId="44" xfId="0" applyFont="1" applyFill="1" applyBorder="1" applyAlignment="1">
      <alignment horizontal="center"/>
    </xf>
    <xf numFmtId="0" fontId="1" fillId="18" borderId="45" xfId="0" applyFont="1" applyFill="1" applyBorder="1" applyAlignment="1">
      <alignment horizontal="center"/>
    </xf>
    <xf numFmtId="0" fontId="1" fillId="18" borderId="15" xfId="0" applyFont="1" applyFill="1" applyBorder="1"/>
    <xf numFmtId="0" fontId="1" fillId="18" borderId="16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18" borderId="18" xfId="0" applyFont="1" applyFill="1" applyBorder="1"/>
    <xf numFmtId="0" fontId="1" fillId="18" borderId="19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0" fillId="18" borderId="7" xfId="0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0" fontId="1" fillId="9" borderId="18" xfId="0" applyFont="1" applyFill="1" applyBorder="1"/>
    <xf numFmtId="0" fontId="1" fillId="9" borderId="20" xfId="0" applyFont="1" applyFill="1" applyBorder="1" applyAlignment="1">
      <alignment horizontal="left"/>
    </xf>
    <xf numFmtId="0" fontId="1" fillId="10" borderId="18" xfId="0" applyFont="1" applyFill="1" applyBorder="1"/>
    <xf numFmtId="0" fontId="1" fillId="10" borderId="20" xfId="0" applyFont="1" applyFill="1" applyBorder="1" applyAlignment="1">
      <alignment horizontal="left"/>
    </xf>
    <xf numFmtId="0" fontId="10" fillId="17" borderId="21" xfId="0" applyFont="1" applyFill="1" applyBorder="1" applyAlignment="1">
      <alignment horizontal="center"/>
    </xf>
    <xf numFmtId="0" fontId="10" fillId="17" borderId="16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0" fillId="17" borderId="0" xfId="0" applyFill="1" applyBorder="1"/>
    <xf numFmtId="0" fontId="0" fillId="17" borderId="0" xfId="0" applyFill="1" applyBorder="1" applyAlignment="1">
      <alignment horizontal="left" vertical="center"/>
    </xf>
    <xf numFmtId="0" fontId="0" fillId="17" borderId="0" xfId="0" applyFill="1" applyBorder="1" applyAlignment="1">
      <alignment horizontal="left"/>
    </xf>
    <xf numFmtId="0" fontId="0" fillId="0" borderId="37" xfId="0" applyFill="1" applyBorder="1"/>
    <xf numFmtId="0" fontId="0" fillId="18" borderId="2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0" fillId="17" borderId="17" xfId="0" applyFont="1" applyFill="1" applyBorder="1" applyAlignment="1">
      <alignment horizontal="center"/>
    </xf>
    <xf numFmtId="0" fontId="10" fillId="17" borderId="19" xfId="0" applyFont="1" applyFill="1" applyBorder="1" applyAlignment="1">
      <alignment horizontal="center"/>
    </xf>
    <xf numFmtId="0" fontId="10" fillId="17" borderId="22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left"/>
    </xf>
    <xf numFmtId="0" fontId="19" fillId="19" borderId="2" xfId="0" applyFont="1" applyFill="1" applyBorder="1" applyAlignment="1">
      <alignment horizontal="left"/>
    </xf>
    <xf numFmtId="0" fontId="19" fillId="19" borderId="2" xfId="0" applyFont="1" applyFill="1" applyBorder="1" applyAlignment="1">
      <alignment horizontal="center"/>
    </xf>
    <xf numFmtId="49" fontId="19" fillId="19" borderId="2" xfId="0" applyNumberFormat="1" applyFont="1" applyFill="1" applyBorder="1" applyAlignment="1">
      <alignment horizontal="center"/>
    </xf>
    <xf numFmtId="0" fontId="19" fillId="19" borderId="7" xfId="0" applyFont="1" applyFill="1" applyBorder="1" applyAlignment="1">
      <alignment horizontal="center"/>
    </xf>
    <xf numFmtId="49" fontId="19" fillId="7" borderId="8" xfId="0" applyNumberFormat="1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28" fillId="19" borderId="6" xfId="0" applyFont="1" applyFill="1" applyBorder="1" applyAlignment="1">
      <alignment horizontal="center"/>
    </xf>
    <xf numFmtId="0" fontId="28" fillId="19" borderId="2" xfId="0" applyFont="1" applyFill="1" applyBorder="1" applyAlignment="1">
      <alignment horizontal="center"/>
    </xf>
    <xf numFmtId="0" fontId="28" fillId="19" borderId="1" xfId="0" applyFont="1" applyFill="1" applyBorder="1" applyAlignment="1">
      <alignment horizontal="center"/>
    </xf>
    <xf numFmtId="0" fontId="19" fillId="20" borderId="2" xfId="0" applyFont="1" applyFill="1" applyBorder="1" applyAlignment="1">
      <alignment horizontal="left"/>
    </xf>
    <xf numFmtId="0" fontId="19" fillId="20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/>
    </xf>
    <xf numFmtId="16" fontId="19" fillId="20" borderId="2" xfId="0" applyNumberFormat="1" applyFont="1" applyFill="1" applyBorder="1" applyAlignment="1">
      <alignment horizontal="center"/>
    </xf>
    <xf numFmtId="0" fontId="19" fillId="20" borderId="2" xfId="0" applyNumberFormat="1" applyFont="1" applyFill="1" applyBorder="1" applyAlignment="1">
      <alignment horizontal="center"/>
    </xf>
    <xf numFmtId="49" fontId="19" fillId="20" borderId="2" xfId="0" applyNumberFormat="1" applyFont="1" applyFill="1" applyBorder="1" applyAlignment="1">
      <alignment horizontal="center"/>
    </xf>
    <xf numFmtId="0" fontId="21" fillId="20" borderId="2" xfId="0" applyFont="1" applyFill="1" applyBorder="1" applyAlignment="1">
      <alignment horizontal="center"/>
    </xf>
    <xf numFmtId="0" fontId="28" fillId="20" borderId="2" xfId="0" applyFont="1" applyFill="1" applyBorder="1" applyAlignment="1">
      <alignment horizontal="center"/>
    </xf>
    <xf numFmtId="0" fontId="28" fillId="20" borderId="6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49" fontId="28" fillId="20" borderId="2" xfId="0" applyNumberFormat="1" applyFont="1" applyFill="1" applyBorder="1" applyAlignment="1">
      <alignment horizontal="center"/>
    </xf>
    <xf numFmtId="49" fontId="28" fillId="20" borderId="1" xfId="0" applyNumberFormat="1" applyFont="1" applyFill="1" applyBorder="1" applyAlignment="1">
      <alignment horizontal="center"/>
    </xf>
    <xf numFmtId="0" fontId="1" fillId="21" borderId="6" xfId="0" applyFont="1" applyFill="1" applyBorder="1" applyAlignment="1">
      <alignment horizontal="center"/>
    </xf>
    <xf numFmtId="0" fontId="1" fillId="21" borderId="10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left"/>
    </xf>
    <xf numFmtId="0" fontId="19" fillId="22" borderId="2" xfId="0" applyFont="1" applyFill="1" applyBorder="1" applyAlignment="1">
      <alignment horizontal="center"/>
    </xf>
    <xf numFmtId="0" fontId="0" fillId="9" borderId="24" xfId="0" applyFill="1" applyBorder="1"/>
    <xf numFmtId="0" fontId="0" fillId="9" borderId="25" xfId="0" applyFill="1" applyBorder="1"/>
    <xf numFmtId="0" fontId="0" fillId="10" borderId="24" xfId="0" applyFill="1" applyBorder="1"/>
    <xf numFmtId="0" fontId="0" fillId="10" borderId="25" xfId="0" applyFill="1" applyBorder="1"/>
    <xf numFmtId="0" fontId="0" fillId="0" borderId="0" xfId="0" applyFill="1" applyBorder="1"/>
    <xf numFmtId="49" fontId="0" fillId="0" borderId="0" xfId="0" applyNumberFormat="1"/>
    <xf numFmtId="0" fontId="1" fillId="18" borderId="3" xfId="0" applyFont="1" applyFill="1" applyBorder="1"/>
    <xf numFmtId="0" fontId="0" fillId="18" borderId="1" xfId="0" applyFill="1" applyBorder="1"/>
    <xf numFmtId="0" fontId="0" fillId="18" borderId="6" xfId="0" applyFill="1" applyBorder="1"/>
    <xf numFmtId="0" fontId="13" fillId="17" borderId="15" xfId="0" applyFont="1" applyFill="1" applyBorder="1" applyAlignment="1">
      <alignment horizontal="left"/>
    </xf>
    <xf numFmtId="0" fontId="13" fillId="17" borderId="16" xfId="0" applyFont="1" applyFill="1" applyBorder="1" applyAlignment="1">
      <alignment horizontal="center"/>
    </xf>
    <xf numFmtId="0" fontId="13" fillId="17" borderId="17" xfId="0" applyFont="1" applyFill="1" applyBorder="1" applyAlignment="1">
      <alignment horizontal="center"/>
    </xf>
    <xf numFmtId="0" fontId="13" fillId="17" borderId="18" xfId="0" applyFont="1" applyFill="1" applyBorder="1" applyAlignment="1">
      <alignment horizontal="left"/>
    </xf>
    <xf numFmtId="0" fontId="13" fillId="17" borderId="2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13" fillId="17" borderId="20" xfId="0" applyFont="1" applyFill="1" applyBorder="1" applyAlignment="1">
      <alignment horizontal="left"/>
    </xf>
    <xf numFmtId="0" fontId="13" fillId="17" borderId="21" xfId="0" applyFont="1" applyFill="1" applyBorder="1" applyAlignment="1">
      <alignment horizontal="center"/>
    </xf>
    <xf numFmtId="0" fontId="13" fillId="17" borderId="22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left"/>
    </xf>
    <xf numFmtId="0" fontId="2" fillId="17" borderId="16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left"/>
    </xf>
    <xf numFmtId="0" fontId="2" fillId="17" borderId="2" xfId="0" applyFont="1" applyFill="1" applyBorder="1" applyAlignment="1">
      <alignment horizontal="center"/>
    </xf>
    <xf numFmtId="0" fontId="2" fillId="17" borderId="19" xfId="0" applyFont="1" applyFill="1" applyBorder="1" applyAlignment="1">
      <alignment horizontal="center"/>
    </xf>
    <xf numFmtId="0" fontId="2" fillId="17" borderId="20" xfId="0" applyFont="1" applyFill="1" applyBorder="1" applyAlignment="1">
      <alignment horizontal="left"/>
    </xf>
    <xf numFmtId="0" fontId="2" fillId="17" borderId="21" xfId="0" applyFont="1" applyFill="1" applyBorder="1" applyAlignment="1">
      <alignment horizontal="center"/>
    </xf>
    <xf numFmtId="0" fontId="2" fillId="17" borderId="22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15" fillId="17" borderId="23" xfId="0" applyFont="1" applyFill="1" applyBorder="1" applyAlignment="1">
      <alignment horizontal="left" vertical="center"/>
    </xf>
    <xf numFmtId="0" fontId="15" fillId="17" borderId="3" xfId="0" applyFont="1" applyFill="1" applyBorder="1" applyAlignment="1">
      <alignment horizontal="center"/>
    </xf>
    <xf numFmtId="0" fontId="15" fillId="17" borderId="4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center"/>
    </xf>
    <xf numFmtId="0" fontId="1" fillId="9" borderId="15" xfId="0" applyFont="1" applyFill="1" applyBorder="1"/>
    <xf numFmtId="0" fontId="0" fillId="9" borderId="24" xfId="0" applyFill="1" applyBorder="1"/>
    <xf numFmtId="0" fontId="0" fillId="9" borderId="25" xfId="0" applyFill="1" applyBorder="1"/>
    <xf numFmtId="0" fontId="0" fillId="10" borderId="24" xfId="0" applyFill="1" applyBorder="1"/>
    <xf numFmtId="0" fontId="0" fillId="10" borderId="25" xfId="0" applyFill="1" applyBorder="1"/>
    <xf numFmtId="0" fontId="0" fillId="10" borderId="46" xfId="0" applyFill="1" applyBorder="1"/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2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1"/>
  <sheetViews>
    <sheetView tabSelected="1" workbookViewId="0">
      <pane ySplit="18" topLeftCell="A39" activePane="bottomLeft" state="frozen"/>
      <selection pane="bottomLeft" activeCell="O12" sqref="O12"/>
    </sheetView>
  </sheetViews>
  <sheetFormatPr baseColWidth="10" defaultRowHeight="13" x14ac:dyDescent="0"/>
  <cols>
    <col min="1" max="1" width="2.42578125" style="503" customWidth="1"/>
    <col min="14" max="14" width="2.42578125" style="503" customWidth="1"/>
  </cols>
  <sheetData>
    <row r="1" spans="1:14" s="58" customFormat="1">
      <c r="A1" s="503"/>
      <c r="B1" s="502"/>
      <c r="C1" s="502"/>
      <c r="D1" s="502"/>
      <c r="E1" s="502"/>
      <c r="F1" s="502"/>
      <c r="G1" s="502"/>
      <c r="H1" s="502"/>
      <c r="I1" s="502"/>
      <c r="J1" s="503"/>
      <c r="K1" s="503"/>
      <c r="L1" s="503"/>
      <c r="M1" s="503"/>
      <c r="N1" s="503"/>
    </row>
    <row r="2" spans="1:14" s="58" customFormat="1">
      <c r="A2" s="503"/>
      <c r="F2" s="1"/>
      <c r="G2" s="528"/>
      <c r="H2" s="529"/>
      <c r="I2" s="527"/>
      <c r="J2" s="530" t="s">
        <v>861</v>
      </c>
      <c r="K2" s="527"/>
      <c r="L2" s="527"/>
      <c r="M2" s="527"/>
      <c r="N2" s="503"/>
    </row>
    <row r="3" spans="1:14">
      <c r="B3" s="526" t="s">
        <v>1983</v>
      </c>
      <c r="C3" s="140"/>
      <c r="D3" s="526" t="s">
        <v>7</v>
      </c>
      <c r="E3" s="140"/>
      <c r="G3" s="524" t="s">
        <v>1983</v>
      </c>
      <c r="H3" s="525" t="s">
        <v>1849</v>
      </c>
      <c r="I3" s="524" t="s">
        <v>1862</v>
      </c>
      <c r="J3" s="524" t="s">
        <v>1863</v>
      </c>
      <c r="K3" s="525" t="s">
        <v>786</v>
      </c>
      <c r="L3" s="525" t="s">
        <v>1779</v>
      </c>
      <c r="M3" s="525" t="s">
        <v>788</v>
      </c>
    </row>
    <row r="4" spans="1:14">
      <c r="B4" s="145">
        <v>1</v>
      </c>
      <c r="C4" s="140" t="s">
        <v>335</v>
      </c>
      <c r="D4" s="145">
        <v>1</v>
      </c>
      <c r="E4" s="140" t="s">
        <v>1922</v>
      </c>
      <c r="G4" s="145" t="s">
        <v>335</v>
      </c>
      <c r="H4" s="4">
        <f>Savanna!J911</f>
        <v>7.6</v>
      </c>
      <c r="I4" s="4">
        <f>Savanna!K911</f>
        <v>6.5</v>
      </c>
      <c r="J4" s="4">
        <f>Savanna!L911</f>
        <v>71.3</v>
      </c>
      <c r="K4" s="4">
        <f>Savanna!M911</f>
        <v>25.6</v>
      </c>
      <c r="L4" s="4">
        <f>Savanna!N911</f>
        <v>4.5999999999999996</v>
      </c>
      <c r="M4" s="4">
        <f>Savanna!O911</f>
        <v>2.2000000000000002</v>
      </c>
    </row>
    <row r="5" spans="1:14">
      <c r="B5" s="145">
        <v>2</v>
      </c>
      <c r="C5" s="140" t="s">
        <v>336</v>
      </c>
      <c r="D5" s="145">
        <v>2</v>
      </c>
      <c r="E5" s="140" t="s">
        <v>1798</v>
      </c>
      <c r="G5" s="145" t="s">
        <v>336</v>
      </c>
      <c r="H5" s="4">
        <f>'Tropical Forest'!J602</f>
        <v>284.7</v>
      </c>
      <c r="I5" s="4">
        <f>'Tropical Forest'!K602</f>
        <v>137.4</v>
      </c>
      <c r="J5" s="4">
        <f>'Tropical Forest'!L602</f>
        <v>48.6</v>
      </c>
      <c r="K5" s="4">
        <f>'Tropical Forest'!M602</f>
        <v>21.9</v>
      </c>
      <c r="L5" s="4">
        <f>'Tropical Forest'!N602</f>
        <v>125.5</v>
      </c>
      <c r="M5" s="4">
        <f>'Tropical Forest'!O602</f>
        <v>77</v>
      </c>
    </row>
    <row r="6" spans="1:14">
      <c r="B6" s="145">
        <v>3</v>
      </c>
      <c r="C6" s="140" t="s">
        <v>337</v>
      </c>
      <c r="D6" s="145">
        <v>3</v>
      </c>
      <c r="E6" s="140" t="s">
        <v>1799</v>
      </c>
      <c r="G6" s="145" t="s">
        <v>337</v>
      </c>
      <c r="H6" s="4">
        <f>'Temperate Forest'!J205</f>
        <v>115.4</v>
      </c>
      <c r="I6" s="4">
        <f>'Temperate Forest'!K205</f>
        <v>144.19999999999999</v>
      </c>
      <c r="J6" s="4">
        <f>'Temperate Forest'!L205</f>
        <v>61.1</v>
      </c>
      <c r="K6" s="4">
        <f>'Temperate Forest'!M205</f>
        <v>18.2</v>
      </c>
      <c r="L6" s="4">
        <f>'Temperate Forest'!N205</f>
        <v>57.8</v>
      </c>
      <c r="M6" s="4">
        <f>'Temperate Forest'!O205</f>
        <v>71.7</v>
      </c>
    </row>
    <row r="7" spans="1:14">
      <c r="B7" s="145">
        <v>4</v>
      </c>
      <c r="C7" s="140" t="s">
        <v>338</v>
      </c>
      <c r="D7" s="145">
        <v>4</v>
      </c>
      <c r="E7" s="140" t="s">
        <v>1800</v>
      </c>
      <c r="G7" s="145" t="s">
        <v>338</v>
      </c>
      <c r="H7" s="145">
        <f>'Boreal Forest'!J475</f>
        <v>68.7</v>
      </c>
      <c r="I7" s="145">
        <f>'Boreal Forest'!K475</f>
        <v>61</v>
      </c>
      <c r="J7" s="145">
        <f>'Boreal Forest'!L475</f>
        <v>51</v>
      </c>
      <c r="K7" s="145">
        <f>'Boreal Forest'!M475</f>
        <v>17.399999999999999</v>
      </c>
      <c r="L7" s="145">
        <f>'Boreal Forest'!N475</f>
        <v>34.700000000000003</v>
      </c>
      <c r="M7" s="145">
        <f>'Boreal Forest'!O475</f>
        <v>24.3</v>
      </c>
    </row>
    <row r="8" spans="1:14">
      <c r="B8" s="145">
        <v>5</v>
      </c>
      <c r="C8" s="140" t="s">
        <v>339</v>
      </c>
      <c r="D8" s="140"/>
      <c r="E8" s="140"/>
      <c r="F8" s="26"/>
      <c r="G8" s="145" t="s">
        <v>339</v>
      </c>
      <c r="H8" s="145">
        <f>Pasture!J152</f>
        <v>73.8</v>
      </c>
      <c r="I8" s="145">
        <f>Pasture!K152</f>
        <v>33.5</v>
      </c>
      <c r="J8" s="145">
        <f>Pasture!L152</f>
        <v>47.4</v>
      </c>
      <c r="K8" s="145">
        <f>Pasture!M152</f>
        <v>26.8</v>
      </c>
      <c r="L8" s="145">
        <f>Pasture!N152</f>
        <v>28.4</v>
      </c>
      <c r="M8" s="145">
        <f>Pasture!O152</f>
        <v>9.3000000000000007</v>
      </c>
    </row>
    <row r="9" spans="1:14">
      <c r="B9" s="74">
        <v>6</v>
      </c>
      <c r="C9" s="3" t="s">
        <v>2144</v>
      </c>
      <c r="F9" s="26"/>
      <c r="G9" s="145" t="s">
        <v>2144</v>
      </c>
      <c r="H9" s="145">
        <f>'Shifting Cultivation'!J22</f>
        <v>44</v>
      </c>
      <c r="I9" s="145" t="str">
        <f>'Shifting Cultivation'!K22</f>
        <v>-</v>
      </c>
      <c r="J9" s="145">
        <f>'Shifting Cultivation'!L22</f>
        <v>46.8</v>
      </c>
      <c r="K9" s="145" t="str">
        <f>'Shifting Cultivation'!M22</f>
        <v>-</v>
      </c>
      <c r="L9" s="145">
        <f>'Shifting Cultivation'!N22</f>
        <v>23.4</v>
      </c>
      <c r="M9" s="145" t="str">
        <f>'Shifting Cultivation'!O22</f>
        <v>-</v>
      </c>
    </row>
    <row r="10" spans="1:14">
      <c r="B10" s="145">
        <v>7</v>
      </c>
      <c r="C10" s="140" t="s">
        <v>340</v>
      </c>
      <c r="D10" s="526" t="s">
        <v>8</v>
      </c>
      <c r="E10" s="140"/>
      <c r="F10" s="26"/>
      <c r="G10" s="145" t="s">
        <v>340</v>
      </c>
      <c r="H10" s="145">
        <f>'Crop Residue'!J59</f>
        <v>8.3000000000000007</v>
      </c>
      <c r="I10" s="145">
        <f>'Crop Residue'!K59</f>
        <v>9.9</v>
      </c>
      <c r="J10" s="145">
        <f>'Crop Residue'!L59</f>
        <v>74.5</v>
      </c>
      <c r="K10" s="145">
        <f>'Crop Residue'!M59</f>
        <v>20.9</v>
      </c>
      <c r="L10" s="145">
        <f>'Crop Residue'!N59</f>
        <v>6.5</v>
      </c>
      <c r="M10" s="145">
        <f>'Crop Residue'!O59</f>
        <v>9</v>
      </c>
    </row>
    <row r="11" spans="1:14">
      <c r="B11" s="145">
        <v>8</v>
      </c>
      <c r="C11" s="140" t="s">
        <v>341</v>
      </c>
      <c r="D11" s="145">
        <v>1</v>
      </c>
      <c r="E11" s="140" t="s">
        <v>29</v>
      </c>
      <c r="F11" s="26"/>
      <c r="G11" s="145" t="s">
        <v>341</v>
      </c>
      <c r="H11" s="145">
        <f>Chaparral!J24</f>
        <v>34.700000000000003</v>
      </c>
      <c r="I11" s="145">
        <f>Chaparral!K24</f>
        <v>22.7</v>
      </c>
      <c r="J11" s="145">
        <f>Chaparral!L24</f>
        <v>75.8</v>
      </c>
      <c r="K11" s="145">
        <f>Chaparral!M24</f>
        <v>6.2</v>
      </c>
      <c r="L11" s="145">
        <f>Chaparral!N24</f>
        <v>27.2</v>
      </c>
      <c r="M11" s="145">
        <f>Chaparral!O24</f>
        <v>18.7</v>
      </c>
    </row>
    <row r="12" spans="1:14">
      <c r="B12" s="145">
        <v>9</v>
      </c>
      <c r="C12" s="140" t="s">
        <v>342</v>
      </c>
      <c r="D12" s="145">
        <v>2</v>
      </c>
      <c r="E12" s="140" t="s">
        <v>736</v>
      </c>
      <c r="F12" s="26"/>
      <c r="G12" s="145" t="s">
        <v>342</v>
      </c>
      <c r="H12" s="145">
        <f>'Tropical Peat'!J43</f>
        <v>1055.5999999999999</v>
      </c>
      <c r="I12" s="145">
        <f>'Tropical Peat'!K43</f>
        <v>876.2</v>
      </c>
      <c r="J12" s="145">
        <f>'Tropical Peat'!L43</f>
        <v>27.2</v>
      </c>
      <c r="K12" s="145" t="str">
        <f>'Tropical Peat'!M43</f>
        <v>-</v>
      </c>
      <c r="L12" s="145">
        <f>'Tropical Peat'!N43</f>
        <v>313.60000000000002</v>
      </c>
      <c r="M12" s="145">
        <f>'Tropical Peat'!O43</f>
        <v>196.1</v>
      </c>
    </row>
    <row r="13" spans="1:14">
      <c r="B13" s="145">
        <v>10</v>
      </c>
      <c r="C13" s="140" t="s">
        <v>90</v>
      </c>
      <c r="D13" s="145">
        <v>3</v>
      </c>
      <c r="E13" s="140" t="s">
        <v>870</v>
      </c>
      <c r="F13" s="26"/>
      <c r="G13" s="145" t="s">
        <v>90</v>
      </c>
      <c r="H13" s="145" t="str">
        <f>'Boreal Peat'!J22</f>
        <v>-</v>
      </c>
      <c r="I13" s="145" t="str">
        <f>'Boreal Peat'!K22</f>
        <v>-</v>
      </c>
      <c r="J13" s="145" t="str">
        <f>'Boreal Peat'!L22</f>
        <v>-</v>
      </c>
      <c r="K13" s="145" t="str">
        <f>'Boreal Peat'!M22</f>
        <v>-</v>
      </c>
      <c r="L13" s="145">
        <f>'Boreal Peat'!N22</f>
        <v>42.3</v>
      </c>
      <c r="M13" s="145" t="str">
        <f>'Boreal Peat'!O22</f>
        <v>-</v>
      </c>
    </row>
    <row r="14" spans="1:14">
      <c r="B14" s="145">
        <v>11</v>
      </c>
      <c r="C14" s="140" t="s">
        <v>28</v>
      </c>
      <c r="D14" s="145"/>
      <c r="E14" s="140"/>
      <c r="F14" s="26"/>
      <c r="G14" s="145" t="s">
        <v>28</v>
      </c>
      <c r="H14" s="531">
        <f>Tundra!J2</f>
        <v>165</v>
      </c>
      <c r="I14" s="531">
        <f>Tundra!K2</f>
        <v>15</v>
      </c>
      <c r="J14" s="531">
        <f>Tundra!L2</f>
        <v>24</v>
      </c>
      <c r="K14" s="531">
        <f>Tundra!M2</f>
        <v>5</v>
      </c>
      <c r="L14" s="531">
        <f>Tundra!N2</f>
        <v>40</v>
      </c>
      <c r="M14" s="531">
        <f>Tundra!O2</f>
        <v>9</v>
      </c>
    </row>
    <row r="15" spans="1:14" s="58" customFormat="1">
      <c r="A15" s="503"/>
      <c r="B15" s="504"/>
      <c r="C15" s="505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</row>
    <row r="16" spans="1:14" ht="14" thickBot="1">
      <c r="B16" s="50"/>
      <c r="C16" s="50"/>
    </row>
    <row r="17" spans="1:14" ht="14" thickBot="1">
      <c r="B17" s="499" t="s">
        <v>2090</v>
      </c>
      <c r="C17" s="501"/>
      <c r="D17" s="500"/>
    </row>
    <row r="18" spans="1:14">
      <c r="B18" s="442" t="s">
        <v>876</v>
      </c>
      <c r="C18" s="442" t="s">
        <v>877</v>
      </c>
      <c r="D18" s="442" t="s">
        <v>1141</v>
      </c>
      <c r="E18" s="443" t="s">
        <v>713</v>
      </c>
      <c r="F18" s="443" t="s">
        <v>749</v>
      </c>
      <c r="G18" s="443" t="s">
        <v>750</v>
      </c>
      <c r="H18" s="443" t="s">
        <v>1142</v>
      </c>
      <c r="I18" s="442" t="s">
        <v>893</v>
      </c>
      <c r="J18" s="442" t="s">
        <v>1146</v>
      </c>
      <c r="K18" s="442" t="s">
        <v>1145</v>
      </c>
      <c r="L18" s="442" t="s">
        <v>6</v>
      </c>
      <c r="M18" s="444" t="s">
        <v>992</v>
      </c>
    </row>
    <row r="19" spans="1:14" s="523" customFormat="1" ht="15">
      <c r="A19" s="522"/>
      <c r="B19" s="445" t="s">
        <v>1615</v>
      </c>
      <c r="C19" s="446">
        <v>68.58</v>
      </c>
      <c r="D19" s="446">
        <v>-149.72</v>
      </c>
      <c r="E19" s="447">
        <v>2007</v>
      </c>
      <c r="F19" s="447" t="s">
        <v>30</v>
      </c>
      <c r="G19" s="447" t="s">
        <v>1046</v>
      </c>
      <c r="H19" s="448">
        <v>165</v>
      </c>
      <c r="I19" s="449">
        <v>24</v>
      </c>
      <c r="J19" s="449">
        <v>40</v>
      </c>
      <c r="K19" s="449">
        <v>11</v>
      </c>
      <c r="L19" s="449">
        <v>4</v>
      </c>
      <c r="M19" s="449">
        <v>3</v>
      </c>
      <c r="N19" s="522"/>
    </row>
    <row r="20" spans="1:14" s="523" customFormat="1" ht="15">
      <c r="A20" s="522"/>
      <c r="B20" s="450" t="s">
        <v>1833</v>
      </c>
      <c r="C20" s="451">
        <v>55.85</v>
      </c>
      <c r="D20" s="451">
        <v>-107.67</v>
      </c>
      <c r="E20" s="452">
        <v>1999</v>
      </c>
      <c r="F20" s="452">
        <v>3</v>
      </c>
      <c r="G20" s="452" t="s">
        <v>1046</v>
      </c>
      <c r="H20" s="453" t="s">
        <v>2069</v>
      </c>
      <c r="I20" s="451" t="s">
        <v>2069</v>
      </c>
      <c r="J20" s="451">
        <v>42</v>
      </c>
      <c r="K20" s="451">
        <v>10</v>
      </c>
      <c r="L20" s="456">
        <v>4</v>
      </c>
      <c r="M20" s="451">
        <v>1</v>
      </c>
      <c r="N20" s="522"/>
    </row>
    <row r="21" spans="1:14" s="523" customFormat="1" ht="15">
      <c r="A21" s="522"/>
      <c r="B21" s="450" t="s">
        <v>2035</v>
      </c>
      <c r="C21" s="451">
        <v>55.85</v>
      </c>
      <c r="D21" s="451">
        <v>-107.67</v>
      </c>
      <c r="E21" s="452">
        <v>1999</v>
      </c>
      <c r="F21" s="452">
        <v>3</v>
      </c>
      <c r="G21" s="452" t="s">
        <v>1046</v>
      </c>
      <c r="H21" s="453" t="s">
        <v>2069</v>
      </c>
      <c r="I21" s="451" t="s">
        <v>2069</v>
      </c>
      <c r="J21" s="451">
        <v>11</v>
      </c>
      <c r="K21" s="451">
        <v>10</v>
      </c>
      <c r="L21" s="456">
        <v>4</v>
      </c>
      <c r="M21" s="451">
        <v>1</v>
      </c>
      <c r="N21" s="522"/>
    </row>
    <row r="22" spans="1:14" s="523" customFormat="1" ht="15">
      <c r="A22" s="522"/>
      <c r="B22" s="450" t="s">
        <v>2035</v>
      </c>
      <c r="C22" s="451">
        <v>55.85</v>
      </c>
      <c r="D22" s="451">
        <v>-107.67</v>
      </c>
      <c r="E22" s="452">
        <v>1999</v>
      </c>
      <c r="F22" s="452">
        <v>3</v>
      </c>
      <c r="G22" s="452" t="s">
        <v>1046</v>
      </c>
      <c r="H22" s="453" t="s">
        <v>2069</v>
      </c>
      <c r="I22" s="451" t="s">
        <v>2069</v>
      </c>
      <c r="J22" s="451">
        <v>72</v>
      </c>
      <c r="K22" s="451">
        <v>10</v>
      </c>
      <c r="L22" s="456">
        <v>4</v>
      </c>
      <c r="M22" s="451">
        <v>1</v>
      </c>
      <c r="N22" s="522"/>
    </row>
    <row r="23" spans="1:14" s="523" customFormat="1" ht="15">
      <c r="A23" s="522"/>
      <c r="B23" s="450" t="s">
        <v>2035</v>
      </c>
      <c r="C23" s="451">
        <v>55.85</v>
      </c>
      <c r="D23" s="451">
        <v>-107.67</v>
      </c>
      <c r="E23" s="452">
        <v>1999</v>
      </c>
      <c r="F23" s="452">
        <v>3</v>
      </c>
      <c r="G23" s="452" t="s">
        <v>1046</v>
      </c>
      <c r="H23" s="453" t="s">
        <v>2069</v>
      </c>
      <c r="I23" s="451" t="s">
        <v>273</v>
      </c>
      <c r="J23" s="451">
        <v>43</v>
      </c>
      <c r="K23" s="451">
        <v>10</v>
      </c>
      <c r="L23" s="456">
        <v>4</v>
      </c>
      <c r="M23" s="451">
        <v>1</v>
      </c>
      <c r="N23" s="522"/>
    </row>
    <row r="24" spans="1:14" s="523" customFormat="1" ht="15">
      <c r="A24" s="522"/>
      <c r="B24" s="450" t="s">
        <v>2035</v>
      </c>
      <c r="C24" s="451">
        <v>55.85</v>
      </c>
      <c r="D24" s="451">
        <v>-107.67</v>
      </c>
      <c r="E24" s="452">
        <v>1999</v>
      </c>
      <c r="F24" s="452">
        <v>3</v>
      </c>
      <c r="G24" s="452" t="s">
        <v>1046</v>
      </c>
      <c r="H24" s="454" t="s">
        <v>273</v>
      </c>
      <c r="I24" s="451" t="s">
        <v>273</v>
      </c>
      <c r="J24" s="451">
        <v>42</v>
      </c>
      <c r="K24" s="451">
        <v>10</v>
      </c>
      <c r="L24" s="456">
        <v>4</v>
      </c>
      <c r="M24" s="451">
        <v>2</v>
      </c>
      <c r="N24" s="522"/>
    </row>
    <row r="25" spans="1:14" s="523" customFormat="1" ht="15">
      <c r="A25" s="522"/>
      <c r="B25" s="455" t="s">
        <v>2036</v>
      </c>
      <c r="C25" s="451">
        <v>54.93</v>
      </c>
      <c r="D25" s="451">
        <v>-114.17</v>
      </c>
      <c r="E25" s="452">
        <v>2001</v>
      </c>
      <c r="F25" s="452" t="s">
        <v>2037</v>
      </c>
      <c r="G25" s="452" t="s">
        <v>1046</v>
      </c>
      <c r="H25" s="454" t="s">
        <v>2070</v>
      </c>
      <c r="I25" s="451" t="s">
        <v>2070</v>
      </c>
      <c r="J25" s="456">
        <v>29</v>
      </c>
      <c r="K25" s="451">
        <v>10</v>
      </c>
      <c r="L25" s="456">
        <v>4</v>
      </c>
      <c r="M25" s="451">
        <v>1</v>
      </c>
      <c r="N25" s="522"/>
    </row>
    <row r="26" spans="1:14" s="523" customFormat="1" ht="15">
      <c r="A26" s="522"/>
      <c r="B26" s="455" t="s">
        <v>2036</v>
      </c>
      <c r="C26" s="451">
        <v>54.93</v>
      </c>
      <c r="D26" s="451">
        <v>-114.17</v>
      </c>
      <c r="E26" s="452">
        <v>2001</v>
      </c>
      <c r="F26" s="452" t="s">
        <v>2037</v>
      </c>
      <c r="G26" s="452" t="s">
        <v>1046</v>
      </c>
      <c r="H26" s="454" t="s">
        <v>2070</v>
      </c>
      <c r="I26" s="451" t="s">
        <v>2070</v>
      </c>
      <c r="J26" s="456">
        <v>56</v>
      </c>
      <c r="K26" s="451">
        <v>10</v>
      </c>
      <c r="L26" s="456">
        <v>4</v>
      </c>
      <c r="M26" s="451">
        <v>1</v>
      </c>
      <c r="N26" s="522"/>
    </row>
    <row r="27" spans="1:14" s="523" customFormat="1" ht="15">
      <c r="A27" s="522"/>
      <c r="B27" s="455" t="s">
        <v>2036</v>
      </c>
      <c r="C27" s="451">
        <v>54.93</v>
      </c>
      <c r="D27" s="451">
        <v>-114.17</v>
      </c>
      <c r="E27" s="452">
        <v>2001</v>
      </c>
      <c r="F27" s="452" t="s">
        <v>2037</v>
      </c>
      <c r="G27" s="452" t="s">
        <v>1046</v>
      </c>
      <c r="H27" s="454" t="s">
        <v>2070</v>
      </c>
      <c r="I27" s="451" t="s">
        <v>2070</v>
      </c>
      <c r="J27" s="456">
        <v>42.5</v>
      </c>
      <c r="K27" s="451">
        <v>10</v>
      </c>
      <c r="L27" s="456">
        <v>4</v>
      </c>
      <c r="M27" s="451">
        <v>2</v>
      </c>
      <c r="N27" s="522"/>
    </row>
    <row r="28" spans="1:14" s="523" customFormat="1" ht="15">
      <c r="A28" s="522"/>
      <c r="B28" s="481" t="s">
        <v>2038</v>
      </c>
      <c r="C28" s="482">
        <v>-2.52</v>
      </c>
      <c r="D28" s="482">
        <v>113.79</v>
      </c>
      <c r="E28" s="483" t="s">
        <v>2054</v>
      </c>
      <c r="F28" s="483" t="s">
        <v>273</v>
      </c>
      <c r="G28" s="483" t="s">
        <v>273</v>
      </c>
      <c r="H28" s="484" t="s">
        <v>273</v>
      </c>
      <c r="I28" s="482" t="s">
        <v>273</v>
      </c>
      <c r="J28" s="485">
        <v>500</v>
      </c>
      <c r="K28" s="482">
        <v>9</v>
      </c>
      <c r="L28" s="485">
        <v>4</v>
      </c>
      <c r="M28" s="482">
        <v>3</v>
      </c>
      <c r="N28" s="522"/>
    </row>
    <row r="29" spans="1:14" s="523" customFormat="1" ht="15">
      <c r="A29" s="522"/>
      <c r="B29" s="486" t="s">
        <v>2055</v>
      </c>
      <c r="C29" s="482">
        <v>-2.2999999999999998</v>
      </c>
      <c r="D29" s="482">
        <v>114.03</v>
      </c>
      <c r="E29" s="483">
        <v>2002</v>
      </c>
      <c r="F29" s="483" t="s">
        <v>273</v>
      </c>
      <c r="G29" s="483" t="s">
        <v>1046</v>
      </c>
      <c r="H29" s="487">
        <v>396</v>
      </c>
      <c r="I29" s="485">
        <v>20</v>
      </c>
      <c r="J29" s="485">
        <v>81</v>
      </c>
      <c r="K29" s="482">
        <v>9</v>
      </c>
      <c r="L29" s="485">
        <v>4</v>
      </c>
      <c r="M29" s="482">
        <v>1</v>
      </c>
      <c r="N29" s="522"/>
    </row>
    <row r="30" spans="1:14" s="523" customFormat="1" ht="15">
      <c r="A30" s="522"/>
      <c r="B30" s="486" t="s">
        <v>2055</v>
      </c>
      <c r="C30" s="482">
        <v>-2.2999999999999998</v>
      </c>
      <c r="D30" s="482">
        <v>114.03</v>
      </c>
      <c r="E30" s="483">
        <v>2002</v>
      </c>
      <c r="F30" s="483" t="s">
        <v>273</v>
      </c>
      <c r="G30" s="483" t="s">
        <v>1046</v>
      </c>
      <c r="H30" s="487">
        <v>405</v>
      </c>
      <c r="I30" s="485">
        <v>25</v>
      </c>
      <c r="J30" s="485">
        <v>100</v>
      </c>
      <c r="K30" s="482">
        <v>9</v>
      </c>
      <c r="L30" s="485">
        <v>4</v>
      </c>
      <c r="M30" s="482">
        <v>1</v>
      </c>
      <c r="N30" s="522"/>
    </row>
    <row r="31" spans="1:14" s="523" customFormat="1" ht="15">
      <c r="A31" s="522"/>
      <c r="B31" s="486" t="s">
        <v>2055</v>
      </c>
      <c r="C31" s="482">
        <v>-2.31</v>
      </c>
      <c r="D31" s="482">
        <v>114.07</v>
      </c>
      <c r="E31" s="483">
        <v>2002</v>
      </c>
      <c r="F31" s="483" t="s">
        <v>273</v>
      </c>
      <c r="G31" s="483" t="s">
        <v>1046</v>
      </c>
      <c r="H31" s="487">
        <v>385</v>
      </c>
      <c r="I31" s="485">
        <v>23</v>
      </c>
      <c r="J31" s="485">
        <v>89</v>
      </c>
      <c r="K31" s="482">
        <v>9</v>
      </c>
      <c r="L31" s="485">
        <v>4</v>
      </c>
      <c r="M31" s="482">
        <v>1</v>
      </c>
      <c r="N31" s="522"/>
    </row>
    <row r="32" spans="1:14" s="523" customFormat="1" ht="15">
      <c r="A32" s="522"/>
      <c r="B32" s="486" t="s">
        <v>2055</v>
      </c>
      <c r="C32" s="482">
        <v>-2.33</v>
      </c>
      <c r="D32" s="482">
        <v>114.12</v>
      </c>
      <c r="E32" s="483">
        <v>2002</v>
      </c>
      <c r="F32" s="483" t="s">
        <v>273</v>
      </c>
      <c r="G32" s="483" t="s">
        <v>1046</v>
      </c>
      <c r="H32" s="487">
        <v>382</v>
      </c>
      <c r="I32" s="485">
        <v>31</v>
      </c>
      <c r="J32" s="485">
        <v>117</v>
      </c>
      <c r="K32" s="482">
        <v>9</v>
      </c>
      <c r="L32" s="485">
        <v>4</v>
      </c>
      <c r="M32" s="482">
        <v>1</v>
      </c>
      <c r="N32" s="522"/>
    </row>
    <row r="33" spans="1:14" s="523" customFormat="1" ht="15">
      <c r="A33" s="522"/>
      <c r="B33" s="486" t="s">
        <v>2055</v>
      </c>
      <c r="C33" s="482">
        <v>-2.35</v>
      </c>
      <c r="D33" s="482">
        <v>114.1</v>
      </c>
      <c r="E33" s="483">
        <v>2002</v>
      </c>
      <c r="F33" s="483" t="s">
        <v>273</v>
      </c>
      <c r="G33" s="483" t="s">
        <v>1046</v>
      </c>
      <c r="H33" s="487">
        <v>393</v>
      </c>
      <c r="I33" s="485">
        <v>32</v>
      </c>
      <c r="J33" s="485">
        <v>125</v>
      </c>
      <c r="K33" s="482">
        <v>9</v>
      </c>
      <c r="L33" s="485">
        <v>4</v>
      </c>
      <c r="M33" s="482">
        <v>1</v>
      </c>
      <c r="N33" s="522"/>
    </row>
    <row r="34" spans="1:14" s="523" customFormat="1" ht="15">
      <c r="A34" s="522"/>
      <c r="B34" s="486" t="s">
        <v>2055</v>
      </c>
      <c r="C34" s="482">
        <v>-2.37</v>
      </c>
      <c r="D34" s="482">
        <v>114.12</v>
      </c>
      <c r="E34" s="483">
        <v>2002</v>
      </c>
      <c r="F34" s="483" t="s">
        <v>273</v>
      </c>
      <c r="G34" s="483" t="s">
        <v>1046</v>
      </c>
      <c r="H34" s="487">
        <v>408</v>
      </c>
      <c r="I34" s="485">
        <v>31</v>
      </c>
      <c r="J34" s="485">
        <v>126</v>
      </c>
      <c r="K34" s="482">
        <v>9</v>
      </c>
      <c r="L34" s="485">
        <v>4</v>
      </c>
      <c r="M34" s="482">
        <v>1</v>
      </c>
      <c r="N34" s="522"/>
    </row>
    <row r="35" spans="1:14" s="523" customFormat="1" ht="15">
      <c r="A35" s="522"/>
      <c r="B35" s="486" t="s">
        <v>2055</v>
      </c>
      <c r="C35" s="482">
        <v>-2.41</v>
      </c>
      <c r="D35" s="482">
        <v>114.17</v>
      </c>
      <c r="E35" s="483">
        <v>2002</v>
      </c>
      <c r="F35" s="483" t="s">
        <v>273</v>
      </c>
      <c r="G35" s="483" t="s">
        <v>1046</v>
      </c>
      <c r="H35" s="487">
        <v>405</v>
      </c>
      <c r="I35" s="485">
        <v>33</v>
      </c>
      <c r="J35" s="485">
        <v>135</v>
      </c>
      <c r="K35" s="482">
        <v>9</v>
      </c>
      <c r="L35" s="485">
        <v>4</v>
      </c>
      <c r="M35" s="482">
        <v>1</v>
      </c>
      <c r="N35" s="522"/>
    </row>
    <row r="36" spans="1:14" s="523" customFormat="1" ht="15">
      <c r="A36" s="522"/>
      <c r="B36" s="486" t="s">
        <v>2055</v>
      </c>
      <c r="C36" s="482">
        <v>-2.5</v>
      </c>
      <c r="D36" s="482">
        <v>114.17</v>
      </c>
      <c r="E36" s="483">
        <v>2002</v>
      </c>
      <c r="F36" s="483" t="s">
        <v>273</v>
      </c>
      <c r="G36" s="483" t="s">
        <v>1046</v>
      </c>
      <c r="H36" s="487">
        <v>415</v>
      </c>
      <c r="I36" s="485">
        <v>27</v>
      </c>
      <c r="J36" s="485">
        <v>114</v>
      </c>
      <c r="K36" s="482">
        <v>9</v>
      </c>
      <c r="L36" s="485">
        <v>4</v>
      </c>
      <c r="M36" s="482">
        <v>1</v>
      </c>
      <c r="N36" s="522"/>
    </row>
    <row r="37" spans="1:14" s="523" customFormat="1" ht="15">
      <c r="A37" s="522"/>
      <c r="B37" s="486" t="s">
        <v>2055</v>
      </c>
      <c r="C37" s="482">
        <v>-2.7</v>
      </c>
      <c r="D37" s="482">
        <v>114.32</v>
      </c>
      <c r="E37" s="483">
        <v>2002</v>
      </c>
      <c r="F37" s="483" t="s">
        <v>273</v>
      </c>
      <c r="G37" s="483" t="s">
        <v>1046</v>
      </c>
      <c r="H37" s="487">
        <v>404</v>
      </c>
      <c r="I37" s="485">
        <v>23</v>
      </c>
      <c r="J37" s="485">
        <v>94</v>
      </c>
      <c r="K37" s="482">
        <v>9</v>
      </c>
      <c r="L37" s="485">
        <v>4</v>
      </c>
      <c r="M37" s="482">
        <v>1</v>
      </c>
      <c r="N37" s="522"/>
    </row>
    <row r="38" spans="1:14" s="523" customFormat="1" ht="15">
      <c r="A38" s="522"/>
      <c r="B38" s="486" t="s">
        <v>2055</v>
      </c>
      <c r="C38" s="482">
        <v>-2.75</v>
      </c>
      <c r="D38" s="482">
        <v>114.32</v>
      </c>
      <c r="E38" s="483">
        <v>2002</v>
      </c>
      <c r="F38" s="483" t="s">
        <v>273</v>
      </c>
      <c r="G38" s="483" t="s">
        <v>1046</v>
      </c>
      <c r="H38" s="487">
        <v>399.2</v>
      </c>
      <c r="I38" s="485">
        <v>27.2</v>
      </c>
      <c r="J38" s="485">
        <v>109</v>
      </c>
      <c r="K38" s="482">
        <v>9</v>
      </c>
      <c r="L38" s="485">
        <v>4</v>
      </c>
      <c r="M38" s="482">
        <v>2</v>
      </c>
      <c r="N38" s="522"/>
    </row>
    <row r="39" spans="1:14" s="523" customFormat="1" ht="15">
      <c r="A39" s="522"/>
      <c r="B39" s="486" t="s">
        <v>2056</v>
      </c>
      <c r="C39" s="482">
        <v>-2.37</v>
      </c>
      <c r="D39" s="482">
        <v>102.68</v>
      </c>
      <c r="E39" s="483" t="s">
        <v>2057</v>
      </c>
      <c r="F39" s="483" t="s">
        <v>2058</v>
      </c>
      <c r="G39" s="483" t="s">
        <v>273</v>
      </c>
      <c r="H39" s="487">
        <v>40</v>
      </c>
      <c r="I39" s="485">
        <v>70</v>
      </c>
      <c r="J39" s="485">
        <v>28</v>
      </c>
      <c r="K39" s="482">
        <v>9</v>
      </c>
      <c r="L39" s="485">
        <v>2</v>
      </c>
      <c r="M39" s="482">
        <v>1</v>
      </c>
      <c r="N39" s="522"/>
    </row>
    <row r="40" spans="1:14" s="523" customFormat="1" ht="15">
      <c r="A40" s="522"/>
      <c r="B40" s="486" t="s">
        <v>2056</v>
      </c>
      <c r="C40" s="482">
        <v>-2.37</v>
      </c>
      <c r="D40" s="482">
        <v>102.68</v>
      </c>
      <c r="E40" s="483" t="s">
        <v>2057</v>
      </c>
      <c r="F40" s="483" t="s">
        <v>2058</v>
      </c>
      <c r="G40" s="483" t="s">
        <v>273</v>
      </c>
      <c r="H40" s="487">
        <v>52</v>
      </c>
      <c r="I40" s="485">
        <v>85</v>
      </c>
      <c r="J40" s="485">
        <v>44</v>
      </c>
      <c r="K40" s="482">
        <v>9</v>
      </c>
      <c r="L40" s="485">
        <v>2</v>
      </c>
      <c r="M40" s="482">
        <v>1</v>
      </c>
      <c r="N40" s="522"/>
    </row>
    <row r="41" spans="1:14" s="523" customFormat="1" ht="15">
      <c r="A41" s="522"/>
      <c r="B41" s="486" t="s">
        <v>2056</v>
      </c>
      <c r="C41" s="482">
        <v>-2.37</v>
      </c>
      <c r="D41" s="482">
        <v>102.68</v>
      </c>
      <c r="E41" s="483" t="s">
        <v>2057</v>
      </c>
      <c r="F41" s="483" t="s">
        <v>2058</v>
      </c>
      <c r="G41" s="483" t="s">
        <v>273</v>
      </c>
      <c r="H41" s="487">
        <v>44</v>
      </c>
      <c r="I41" s="485">
        <v>89</v>
      </c>
      <c r="J41" s="485">
        <v>39</v>
      </c>
      <c r="K41" s="482">
        <v>9</v>
      </c>
      <c r="L41" s="485">
        <v>2</v>
      </c>
      <c r="M41" s="482">
        <v>1</v>
      </c>
      <c r="N41" s="522"/>
    </row>
    <row r="42" spans="1:14" s="523" customFormat="1" ht="15">
      <c r="A42" s="522"/>
      <c r="B42" s="486" t="s">
        <v>2056</v>
      </c>
      <c r="C42" s="482">
        <v>-2.37</v>
      </c>
      <c r="D42" s="482">
        <v>102.68</v>
      </c>
      <c r="E42" s="483" t="s">
        <v>2057</v>
      </c>
      <c r="F42" s="483" t="s">
        <v>2058</v>
      </c>
      <c r="G42" s="483" t="s">
        <v>273</v>
      </c>
      <c r="H42" s="487">
        <v>45.3</v>
      </c>
      <c r="I42" s="485">
        <v>81.3</v>
      </c>
      <c r="J42" s="485">
        <v>37</v>
      </c>
      <c r="K42" s="482">
        <v>9</v>
      </c>
      <c r="L42" s="485">
        <v>2</v>
      </c>
      <c r="M42" s="482">
        <v>2</v>
      </c>
      <c r="N42" s="522"/>
    </row>
    <row r="43" spans="1:14" s="523" customFormat="1" ht="15">
      <c r="A43" s="522"/>
      <c r="B43" s="486" t="s">
        <v>2059</v>
      </c>
      <c r="C43" s="482">
        <v>-2.52</v>
      </c>
      <c r="D43" s="482">
        <v>113.79</v>
      </c>
      <c r="E43" s="483">
        <v>2006</v>
      </c>
      <c r="F43" s="483" t="s">
        <v>1046</v>
      </c>
      <c r="G43" s="483" t="s">
        <v>1046</v>
      </c>
      <c r="H43" s="484" t="s">
        <v>273</v>
      </c>
      <c r="I43" s="485" t="s">
        <v>1046</v>
      </c>
      <c r="J43" s="482">
        <v>328</v>
      </c>
      <c r="K43" s="482">
        <v>9</v>
      </c>
      <c r="L43" s="485">
        <v>1</v>
      </c>
      <c r="M43" s="482">
        <v>1</v>
      </c>
      <c r="N43" s="522"/>
    </row>
    <row r="44" spans="1:14" s="523" customFormat="1" ht="15">
      <c r="A44" s="522"/>
      <c r="B44" s="486" t="s">
        <v>2059</v>
      </c>
      <c r="C44" s="482">
        <v>-2.52</v>
      </c>
      <c r="D44" s="482">
        <v>113.79</v>
      </c>
      <c r="E44" s="483">
        <v>2006</v>
      </c>
      <c r="F44" s="483" t="s">
        <v>1046</v>
      </c>
      <c r="G44" s="483" t="s">
        <v>1046</v>
      </c>
      <c r="H44" s="484" t="s">
        <v>273</v>
      </c>
      <c r="I44" s="485" t="s">
        <v>1046</v>
      </c>
      <c r="J44" s="482">
        <v>328</v>
      </c>
      <c r="K44" s="482">
        <v>9</v>
      </c>
      <c r="L44" s="485">
        <v>1</v>
      </c>
      <c r="M44" s="482">
        <v>1</v>
      </c>
      <c r="N44" s="522"/>
    </row>
    <row r="45" spans="1:14" s="523" customFormat="1" ht="15">
      <c r="A45" s="522"/>
      <c r="B45" s="486" t="s">
        <v>2059</v>
      </c>
      <c r="C45" s="482">
        <v>-2.52</v>
      </c>
      <c r="D45" s="482">
        <v>113.79</v>
      </c>
      <c r="E45" s="483">
        <v>2006</v>
      </c>
      <c r="F45" s="483" t="s">
        <v>1046</v>
      </c>
      <c r="G45" s="483" t="s">
        <v>1046</v>
      </c>
      <c r="H45" s="484" t="s">
        <v>273</v>
      </c>
      <c r="I45" s="485" t="s">
        <v>1046</v>
      </c>
      <c r="J45" s="482">
        <v>339</v>
      </c>
      <c r="K45" s="482">
        <v>9</v>
      </c>
      <c r="L45" s="485">
        <v>1</v>
      </c>
      <c r="M45" s="482">
        <v>1</v>
      </c>
      <c r="N45" s="522"/>
    </row>
    <row r="46" spans="1:14" s="523" customFormat="1" ht="15">
      <c r="A46" s="522"/>
      <c r="B46" s="486" t="s">
        <v>2059</v>
      </c>
      <c r="C46" s="482">
        <v>-2.52</v>
      </c>
      <c r="D46" s="482">
        <v>113.79</v>
      </c>
      <c r="E46" s="483">
        <v>2006</v>
      </c>
      <c r="F46" s="483" t="s">
        <v>1046</v>
      </c>
      <c r="G46" s="483" t="s">
        <v>1046</v>
      </c>
      <c r="H46" s="487" t="s">
        <v>273</v>
      </c>
      <c r="I46" s="485" t="s">
        <v>273</v>
      </c>
      <c r="J46" s="482">
        <v>331.7</v>
      </c>
      <c r="K46" s="482">
        <v>9</v>
      </c>
      <c r="L46" s="485">
        <v>1</v>
      </c>
      <c r="M46" s="482">
        <v>2</v>
      </c>
      <c r="N46" s="522"/>
    </row>
    <row r="47" spans="1:14" s="523" customFormat="1" ht="15">
      <c r="A47" s="522"/>
      <c r="B47" s="582" t="s">
        <v>2060</v>
      </c>
      <c r="C47" s="583">
        <v>34.1</v>
      </c>
      <c r="D47" s="583">
        <v>-117.47</v>
      </c>
      <c r="E47" s="584">
        <v>1986</v>
      </c>
      <c r="F47" s="583">
        <v>12</v>
      </c>
      <c r="G47" s="583">
        <v>12</v>
      </c>
      <c r="H47" s="583" t="s">
        <v>273</v>
      </c>
      <c r="I47" s="583" t="s">
        <v>273</v>
      </c>
      <c r="J47" s="583">
        <v>20</v>
      </c>
      <c r="K47" s="583">
        <v>8</v>
      </c>
      <c r="L47" s="583">
        <v>4</v>
      </c>
      <c r="M47" s="583">
        <v>1</v>
      </c>
      <c r="N47" s="522"/>
    </row>
    <row r="48" spans="1:14" s="523" customFormat="1" ht="15">
      <c r="A48" s="522"/>
      <c r="B48" s="582" t="s">
        <v>2060</v>
      </c>
      <c r="C48" s="583">
        <v>34.1</v>
      </c>
      <c r="D48" s="583">
        <v>-117.47</v>
      </c>
      <c r="E48" s="584">
        <v>1986</v>
      </c>
      <c r="F48" s="583">
        <v>12</v>
      </c>
      <c r="G48" s="583">
        <v>12</v>
      </c>
      <c r="H48" s="583" t="s">
        <v>273</v>
      </c>
      <c r="I48" s="583" t="s">
        <v>273</v>
      </c>
      <c r="J48" s="583">
        <v>70</v>
      </c>
      <c r="K48" s="583">
        <v>8</v>
      </c>
      <c r="L48" s="583">
        <v>4</v>
      </c>
      <c r="M48" s="583">
        <v>1</v>
      </c>
      <c r="N48" s="522"/>
    </row>
    <row r="49" spans="1:14" s="523" customFormat="1" ht="15">
      <c r="A49" s="522"/>
      <c r="B49" s="582" t="s">
        <v>2060</v>
      </c>
      <c r="C49" s="583">
        <v>34.1</v>
      </c>
      <c r="D49" s="583">
        <v>-117.47</v>
      </c>
      <c r="E49" s="584">
        <v>1986</v>
      </c>
      <c r="F49" s="583">
        <v>12</v>
      </c>
      <c r="G49" s="583">
        <v>12</v>
      </c>
      <c r="H49" s="583" t="s">
        <v>273</v>
      </c>
      <c r="I49" s="583" t="s">
        <v>273</v>
      </c>
      <c r="J49" s="583">
        <v>45</v>
      </c>
      <c r="K49" s="583">
        <v>8</v>
      </c>
      <c r="L49" s="583">
        <v>4</v>
      </c>
      <c r="M49" s="583">
        <v>2</v>
      </c>
      <c r="N49" s="522"/>
    </row>
    <row r="50" spans="1:14" s="523" customFormat="1" ht="15">
      <c r="A50" s="522"/>
      <c r="B50" s="582" t="s">
        <v>2061</v>
      </c>
      <c r="C50" s="583">
        <v>33.33</v>
      </c>
      <c r="D50" s="583">
        <v>-117.47</v>
      </c>
      <c r="E50" s="583" t="s">
        <v>273</v>
      </c>
      <c r="F50" s="583" t="s">
        <v>273</v>
      </c>
      <c r="G50" s="583" t="s">
        <v>273</v>
      </c>
      <c r="H50" s="583">
        <v>60</v>
      </c>
      <c r="I50" s="583">
        <v>83</v>
      </c>
      <c r="J50" s="583">
        <v>50</v>
      </c>
      <c r="K50" s="583">
        <v>8</v>
      </c>
      <c r="L50" s="583">
        <v>4</v>
      </c>
      <c r="M50" s="583">
        <v>3</v>
      </c>
      <c r="N50" s="522"/>
    </row>
    <row r="51" spans="1:14" s="523" customFormat="1" ht="15">
      <c r="A51" s="522"/>
      <c r="B51" s="582" t="s">
        <v>2061</v>
      </c>
      <c r="C51" s="583">
        <v>34.29</v>
      </c>
      <c r="D51" s="583">
        <v>-118.33</v>
      </c>
      <c r="E51" s="583" t="s">
        <v>273</v>
      </c>
      <c r="F51" s="583" t="s">
        <v>273</v>
      </c>
      <c r="G51" s="583" t="s">
        <v>273</v>
      </c>
      <c r="H51" s="583">
        <v>20</v>
      </c>
      <c r="I51" s="583">
        <v>75</v>
      </c>
      <c r="J51" s="583">
        <v>15</v>
      </c>
      <c r="K51" s="583">
        <v>8</v>
      </c>
      <c r="L51" s="583">
        <v>4</v>
      </c>
      <c r="M51" s="583">
        <v>3</v>
      </c>
      <c r="N51" s="522"/>
    </row>
    <row r="52" spans="1:14" s="523" customFormat="1" ht="15">
      <c r="A52" s="522"/>
      <c r="B52" s="582" t="s">
        <v>2061</v>
      </c>
      <c r="C52" s="583">
        <v>32.32</v>
      </c>
      <c r="D52" s="583">
        <v>-117.15</v>
      </c>
      <c r="E52" s="583" t="s">
        <v>273</v>
      </c>
      <c r="F52" s="583" t="s">
        <v>273</v>
      </c>
      <c r="G52" s="583" t="s">
        <v>273</v>
      </c>
      <c r="H52" s="585">
        <v>21</v>
      </c>
      <c r="I52" s="585">
        <v>77</v>
      </c>
      <c r="J52" s="585">
        <v>16</v>
      </c>
      <c r="K52" s="583">
        <v>8</v>
      </c>
      <c r="L52" s="583">
        <v>4</v>
      </c>
      <c r="M52" s="583">
        <v>3</v>
      </c>
      <c r="N52" s="522"/>
    </row>
    <row r="53" spans="1:14" s="523" customFormat="1" ht="15">
      <c r="A53" s="522"/>
      <c r="B53" s="582" t="s">
        <v>2145</v>
      </c>
      <c r="C53" s="589">
        <v>34.729999999999997</v>
      </c>
      <c r="D53" s="589">
        <v>-120.57</v>
      </c>
      <c r="E53" s="589">
        <v>2009</v>
      </c>
      <c r="F53" s="589">
        <v>11</v>
      </c>
      <c r="G53" s="590">
        <v>11</v>
      </c>
      <c r="H53" s="589">
        <v>12.6</v>
      </c>
      <c r="I53" s="589">
        <v>63</v>
      </c>
      <c r="J53" s="589">
        <v>7.9</v>
      </c>
      <c r="K53" s="588">
        <v>8</v>
      </c>
      <c r="L53" s="589">
        <v>4</v>
      </c>
      <c r="M53" s="583">
        <v>1</v>
      </c>
      <c r="N53" s="522"/>
    </row>
    <row r="54" spans="1:14" s="523" customFormat="1" ht="15">
      <c r="A54" s="522"/>
      <c r="B54" s="582" t="s">
        <v>2145</v>
      </c>
      <c r="C54" s="589">
        <v>34.729999999999997</v>
      </c>
      <c r="D54" s="589">
        <v>-120.57</v>
      </c>
      <c r="E54" s="589">
        <v>2009</v>
      </c>
      <c r="F54" s="589">
        <v>11</v>
      </c>
      <c r="G54" s="590">
        <v>11</v>
      </c>
      <c r="H54" s="589">
        <v>15.6</v>
      </c>
      <c r="I54" s="589">
        <v>72</v>
      </c>
      <c r="J54" s="589">
        <v>11.3</v>
      </c>
      <c r="K54" s="588">
        <v>8</v>
      </c>
      <c r="L54" s="589">
        <v>4</v>
      </c>
      <c r="M54" s="583">
        <v>1</v>
      </c>
      <c r="N54" s="522"/>
    </row>
    <row r="55" spans="1:14" s="523" customFormat="1" ht="15">
      <c r="A55" s="522"/>
      <c r="B55" s="582" t="s">
        <v>2145</v>
      </c>
      <c r="C55" s="589">
        <v>34.729999999999997</v>
      </c>
      <c r="D55" s="589">
        <v>-120.57</v>
      </c>
      <c r="E55" s="589">
        <v>2009</v>
      </c>
      <c r="F55" s="589">
        <v>11</v>
      </c>
      <c r="G55" s="590">
        <v>11</v>
      </c>
      <c r="H55" s="589">
        <f>ROUND(AVERAGE(H53:H54),)</f>
        <v>14</v>
      </c>
      <c r="I55" s="589">
        <f t="shared" ref="I55:J55" si="0">ROUND(AVERAGE(I53:I54),)</f>
        <v>68</v>
      </c>
      <c r="J55" s="589">
        <f t="shared" si="0"/>
        <v>10</v>
      </c>
      <c r="K55" s="588">
        <v>8</v>
      </c>
      <c r="L55" s="589">
        <v>4</v>
      </c>
      <c r="M55" s="583">
        <v>2</v>
      </c>
      <c r="N55" s="522"/>
    </row>
    <row r="56" spans="1:14" s="523" customFormat="1" ht="15">
      <c r="A56" s="522"/>
      <c r="B56" s="463" t="s">
        <v>2062</v>
      </c>
      <c r="C56" s="464">
        <v>40</v>
      </c>
      <c r="D56" s="464">
        <v>-2</v>
      </c>
      <c r="E56" s="465">
        <v>1989</v>
      </c>
      <c r="F56" s="465" t="s">
        <v>273</v>
      </c>
      <c r="G56" s="465" t="s">
        <v>273</v>
      </c>
      <c r="H56" s="586">
        <v>1.43</v>
      </c>
      <c r="I56" s="587">
        <v>80</v>
      </c>
      <c r="J56" s="587">
        <v>1.1000000000000001</v>
      </c>
      <c r="K56" s="464">
        <v>7</v>
      </c>
      <c r="L56" s="466">
        <v>4</v>
      </c>
      <c r="M56" s="464">
        <v>3</v>
      </c>
      <c r="N56" s="522"/>
    </row>
    <row r="57" spans="1:14" s="523" customFormat="1" ht="15">
      <c r="A57" s="522"/>
      <c r="B57" s="467" t="s">
        <v>2063</v>
      </c>
      <c r="C57" s="466">
        <v>-22.85</v>
      </c>
      <c r="D57" s="466">
        <v>-47.6</v>
      </c>
      <c r="E57" s="465" t="s">
        <v>2064</v>
      </c>
      <c r="F57" s="465" t="s">
        <v>273</v>
      </c>
      <c r="G57" s="465" t="s">
        <v>273</v>
      </c>
      <c r="H57" s="465" t="s">
        <v>273</v>
      </c>
      <c r="I57" s="466" t="s">
        <v>273</v>
      </c>
      <c r="J57" s="466">
        <v>20</v>
      </c>
      <c r="K57" s="464">
        <v>7</v>
      </c>
      <c r="L57" s="466">
        <v>4</v>
      </c>
      <c r="M57" s="464">
        <v>3</v>
      </c>
      <c r="N57" s="522"/>
    </row>
    <row r="58" spans="1:14" s="523" customFormat="1" ht="15">
      <c r="A58" s="522"/>
      <c r="B58" s="463" t="s">
        <v>1885</v>
      </c>
      <c r="C58" s="464">
        <v>33.94</v>
      </c>
      <c r="D58" s="464">
        <v>118.33</v>
      </c>
      <c r="E58" s="465">
        <v>2001</v>
      </c>
      <c r="F58" s="465" t="s">
        <v>1046</v>
      </c>
      <c r="G58" s="465" t="s">
        <v>1046</v>
      </c>
      <c r="H58" s="465">
        <v>7.3</v>
      </c>
      <c r="I58" s="466">
        <v>40</v>
      </c>
      <c r="J58" s="466">
        <v>2.9</v>
      </c>
      <c r="K58" s="464">
        <v>7</v>
      </c>
      <c r="L58" s="466">
        <v>4</v>
      </c>
      <c r="M58" s="464">
        <v>1</v>
      </c>
      <c r="N58" s="522"/>
    </row>
    <row r="59" spans="1:14" s="523" customFormat="1" ht="15">
      <c r="A59" s="522"/>
      <c r="B59" s="463" t="s">
        <v>1885</v>
      </c>
      <c r="C59" s="464">
        <v>33.94</v>
      </c>
      <c r="D59" s="464">
        <v>118.33</v>
      </c>
      <c r="E59" s="465">
        <v>2002</v>
      </c>
      <c r="F59" s="465" t="s">
        <v>1046</v>
      </c>
      <c r="G59" s="465" t="s">
        <v>1046</v>
      </c>
      <c r="H59" s="465">
        <v>7.1</v>
      </c>
      <c r="I59" s="466">
        <v>38</v>
      </c>
      <c r="J59" s="466">
        <v>2.7</v>
      </c>
      <c r="K59" s="464">
        <v>7</v>
      </c>
      <c r="L59" s="466">
        <v>4</v>
      </c>
      <c r="M59" s="464">
        <v>1</v>
      </c>
      <c r="N59" s="522"/>
    </row>
    <row r="60" spans="1:14" s="523" customFormat="1" ht="15">
      <c r="A60" s="522"/>
      <c r="B60" s="463" t="s">
        <v>1885</v>
      </c>
      <c r="C60" s="464">
        <v>33.94</v>
      </c>
      <c r="D60" s="464">
        <v>118.33</v>
      </c>
      <c r="E60" s="465">
        <v>2003</v>
      </c>
      <c r="F60" s="465" t="s">
        <v>1046</v>
      </c>
      <c r="G60" s="465" t="s">
        <v>1046</v>
      </c>
      <c r="H60" s="465">
        <v>4.5999999999999996</v>
      </c>
      <c r="I60" s="466">
        <v>47</v>
      </c>
      <c r="J60" s="466">
        <v>2.2000000000000002</v>
      </c>
      <c r="K60" s="464">
        <v>7</v>
      </c>
      <c r="L60" s="466">
        <v>4</v>
      </c>
      <c r="M60" s="464">
        <v>1</v>
      </c>
      <c r="N60" s="522"/>
    </row>
    <row r="61" spans="1:14" s="523" customFormat="1" ht="15">
      <c r="A61" s="522"/>
      <c r="B61" s="463" t="s">
        <v>1885</v>
      </c>
      <c r="C61" s="464">
        <v>33.94</v>
      </c>
      <c r="D61" s="464">
        <v>118.33</v>
      </c>
      <c r="E61" s="465">
        <v>2004</v>
      </c>
      <c r="F61" s="465" t="s">
        <v>1046</v>
      </c>
      <c r="G61" s="465" t="s">
        <v>1046</v>
      </c>
      <c r="H61" s="465">
        <v>7.7</v>
      </c>
      <c r="I61" s="466">
        <v>44</v>
      </c>
      <c r="J61" s="466">
        <v>3.4</v>
      </c>
      <c r="K61" s="464">
        <v>7</v>
      </c>
      <c r="L61" s="466">
        <v>4</v>
      </c>
      <c r="M61" s="464">
        <v>1</v>
      </c>
      <c r="N61" s="522"/>
    </row>
    <row r="62" spans="1:14" s="523" customFormat="1" ht="15">
      <c r="A62" s="522"/>
      <c r="B62" s="463" t="s">
        <v>1885</v>
      </c>
      <c r="C62" s="464">
        <v>33.94</v>
      </c>
      <c r="D62" s="464">
        <v>118.33</v>
      </c>
      <c r="E62" s="465">
        <v>2005</v>
      </c>
      <c r="F62" s="465" t="s">
        <v>1046</v>
      </c>
      <c r="G62" s="465" t="s">
        <v>1046</v>
      </c>
      <c r="H62" s="465">
        <v>6.9</v>
      </c>
      <c r="I62" s="466">
        <v>49</v>
      </c>
      <c r="J62" s="466">
        <v>3.4</v>
      </c>
      <c r="K62" s="464">
        <v>7</v>
      </c>
      <c r="L62" s="466">
        <v>4</v>
      </c>
      <c r="M62" s="464">
        <v>1</v>
      </c>
      <c r="N62" s="522"/>
    </row>
    <row r="63" spans="1:14" s="523" customFormat="1" ht="15">
      <c r="A63" s="522"/>
      <c r="B63" s="463" t="s">
        <v>1885</v>
      </c>
      <c r="C63" s="464">
        <v>33.94</v>
      </c>
      <c r="D63" s="464">
        <v>118.33</v>
      </c>
      <c r="E63" s="465" t="s">
        <v>1886</v>
      </c>
      <c r="F63" s="465" t="s">
        <v>273</v>
      </c>
      <c r="G63" s="465" t="s">
        <v>273</v>
      </c>
      <c r="H63" s="465">
        <f>ROUND(AVERAGE(H58:H62),1)</f>
        <v>6.7</v>
      </c>
      <c r="I63" s="466">
        <f>ROUND(AVERAGE(I58:I62),1)</f>
        <v>43.6</v>
      </c>
      <c r="J63" s="466">
        <v>2.9</v>
      </c>
      <c r="K63" s="464">
        <v>7</v>
      </c>
      <c r="L63" s="466">
        <v>4</v>
      </c>
      <c r="M63" s="464">
        <v>2</v>
      </c>
      <c r="N63" s="522"/>
    </row>
    <row r="64" spans="1:14" s="523" customFormat="1" ht="14" customHeight="1">
      <c r="A64" s="522"/>
      <c r="B64" s="467" t="s">
        <v>1887</v>
      </c>
      <c r="C64" s="466">
        <v>40</v>
      </c>
      <c r="D64" s="466">
        <v>-98</v>
      </c>
      <c r="E64" s="466">
        <v>2010</v>
      </c>
      <c r="F64" s="465" t="s">
        <v>1888</v>
      </c>
      <c r="G64" s="465" t="s">
        <v>273</v>
      </c>
      <c r="H64" s="466">
        <v>0.5</v>
      </c>
      <c r="I64" s="466">
        <v>88</v>
      </c>
      <c r="J64" s="466">
        <v>0.44</v>
      </c>
      <c r="K64" s="464">
        <v>7</v>
      </c>
      <c r="L64" s="466">
        <v>4</v>
      </c>
      <c r="M64" s="464">
        <v>1</v>
      </c>
      <c r="N64" s="522"/>
    </row>
    <row r="65" spans="1:14" s="523" customFormat="1" ht="15">
      <c r="A65" s="522"/>
      <c r="B65" s="467" t="s">
        <v>1887</v>
      </c>
      <c r="C65" s="466">
        <v>40</v>
      </c>
      <c r="D65" s="466">
        <v>-98</v>
      </c>
      <c r="E65" s="466">
        <v>2010</v>
      </c>
      <c r="F65" s="465" t="s">
        <v>1888</v>
      </c>
      <c r="G65" s="465" t="s">
        <v>1046</v>
      </c>
      <c r="H65" s="466">
        <v>1.1200000000000001</v>
      </c>
      <c r="I65" s="466">
        <v>88</v>
      </c>
      <c r="J65" s="466">
        <v>0.99</v>
      </c>
      <c r="K65" s="464">
        <v>7</v>
      </c>
      <c r="L65" s="466">
        <v>4</v>
      </c>
      <c r="M65" s="464">
        <v>1</v>
      </c>
      <c r="N65" s="522"/>
    </row>
    <row r="66" spans="1:14" s="523" customFormat="1" ht="15">
      <c r="A66" s="522"/>
      <c r="B66" s="467" t="s">
        <v>1887</v>
      </c>
      <c r="C66" s="466">
        <v>40</v>
      </c>
      <c r="D66" s="466">
        <v>-98</v>
      </c>
      <c r="E66" s="466">
        <v>2010</v>
      </c>
      <c r="F66" s="465" t="s">
        <v>2089</v>
      </c>
      <c r="G66" s="465" t="s">
        <v>1046</v>
      </c>
      <c r="H66" s="466">
        <v>1.54</v>
      </c>
      <c r="I66" s="466">
        <v>88</v>
      </c>
      <c r="J66" s="466">
        <v>1.36</v>
      </c>
      <c r="K66" s="464">
        <v>7</v>
      </c>
      <c r="L66" s="466">
        <v>4</v>
      </c>
      <c r="M66" s="464">
        <v>1</v>
      </c>
      <c r="N66" s="522"/>
    </row>
    <row r="67" spans="1:14" s="523" customFormat="1" ht="15">
      <c r="A67" s="522"/>
      <c r="B67" s="467" t="s">
        <v>1887</v>
      </c>
      <c r="C67" s="466">
        <v>40</v>
      </c>
      <c r="D67" s="466">
        <v>-98</v>
      </c>
      <c r="E67" s="466">
        <v>2010</v>
      </c>
      <c r="F67" s="465" t="s">
        <v>2089</v>
      </c>
      <c r="G67" s="465" t="s">
        <v>1046</v>
      </c>
      <c r="H67" s="466">
        <v>2.36</v>
      </c>
      <c r="I67" s="466">
        <v>88</v>
      </c>
      <c r="J67" s="466">
        <v>2.08</v>
      </c>
      <c r="K67" s="464">
        <v>7</v>
      </c>
      <c r="L67" s="466">
        <v>4</v>
      </c>
      <c r="M67" s="464">
        <v>1</v>
      </c>
      <c r="N67" s="522"/>
    </row>
    <row r="68" spans="1:14" s="523" customFormat="1" ht="15">
      <c r="A68" s="522"/>
      <c r="B68" s="467" t="s">
        <v>1887</v>
      </c>
      <c r="C68" s="466">
        <v>40</v>
      </c>
      <c r="D68" s="466">
        <v>-98</v>
      </c>
      <c r="E68" s="466">
        <v>2010</v>
      </c>
      <c r="F68" s="465" t="s">
        <v>1889</v>
      </c>
      <c r="G68" s="465" t="s">
        <v>273</v>
      </c>
      <c r="H68" s="466">
        <v>0.21</v>
      </c>
      <c r="I68" s="466">
        <v>88</v>
      </c>
      <c r="J68" s="466">
        <v>0.18</v>
      </c>
      <c r="K68" s="464">
        <v>7</v>
      </c>
      <c r="L68" s="466">
        <v>4</v>
      </c>
      <c r="M68" s="464">
        <v>1</v>
      </c>
      <c r="N68" s="522"/>
    </row>
    <row r="69" spans="1:14" s="523" customFormat="1" ht="15">
      <c r="A69" s="522"/>
      <c r="B69" s="467" t="s">
        <v>1887</v>
      </c>
      <c r="C69" s="466">
        <v>40</v>
      </c>
      <c r="D69" s="466">
        <v>-98</v>
      </c>
      <c r="E69" s="466">
        <v>2010</v>
      </c>
      <c r="F69" s="465" t="s">
        <v>1890</v>
      </c>
      <c r="G69" s="465" t="s">
        <v>1046</v>
      </c>
      <c r="H69" s="466">
        <v>10.039999999999999</v>
      </c>
      <c r="I69" s="466">
        <v>88</v>
      </c>
      <c r="J69" s="466">
        <v>8.84</v>
      </c>
      <c r="K69" s="464">
        <v>7</v>
      </c>
      <c r="L69" s="466">
        <v>4</v>
      </c>
      <c r="M69" s="464">
        <v>1</v>
      </c>
      <c r="N69" s="522"/>
    </row>
    <row r="70" spans="1:14" s="523" customFormat="1" ht="15">
      <c r="A70" s="522"/>
      <c r="B70" s="467" t="s">
        <v>1887</v>
      </c>
      <c r="C70" s="466">
        <v>40</v>
      </c>
      <c r="D70" s="466">
        <v>-98</v>
      </c>
      <c r="E70" s="466">
        <v>2010</v>
      </c>
      <c r="F70" s="465" t="s">
        <v>1918</v>
      </c>
      <c r="G70" s="465" t="s">
        <v>273</v>
      </c>
      <c r="H70" s="466">
        <v>0.24</v>
      </c>
      <c r="I70" s="466">
        <v>88</v>
      </c>
      <c r="J70" s="466">
        <v>0.21</v>
      </c>
      <c r="K70" s="464">
        <v>7</v>
      </c>
      <c r="L70" s="466">
        <v>4</v>
      </c>
      <c r="M70" s="464">
        <v>1</v>
      </c>
      <c r="N70" s="522"/>
    </row>
    <row r="71" spans="1:14" s="523" customFormat="1" ht="15">
      <c r="A71" s="522"/>
      <c r="B71" s="467" t="s">
        <v>1887</v>
      </c>
      <c r="C71" s="466">
        <v>40</v>
      </c>
      <c r="D71" s="466">
        <v>-98</v>
      </c>
      <c r="E71" s="466">
        <v>2010</v>
      </c>
      <c r="F71" s="465" t="s">
        <v>1890</v>
      </c>
      <c r="G71" s="465" t="s">
        <v>1046</v>
      </c>
      <c r="H71" s="466">
        <v>0.5</v>
      </c>
      <c r="I71" s="466">
        <v>88</v>
      </c>
      <c r="J71" s="466">
        <v>0.44</v>
      </c>
      <c r="K71" s="464">
        <v>7</v>
      </c>
      <c r="L71" s="466">
        <v>4</v>
      </c>
      <c r="M71" s="464">
        <v>1</v>
      </c>
      <c r="N71" s="522"/>
    </row>
    <row r="72" spans="1:14" s="523" customFormat="1" ht="15">
      <c r="A72" s="522"/>
      <c r="B72" s="467" t="s">
        <v>1887</v>
      </c>
      <c r="C72" s="466">
        <v>40</v>
      </c>
      <c r="D72" s="466">
        <v>-98</v>
      </c>
      <c r="E72" s="466">
        <v>2010</v>
      </c>
      <c r="F72" s="465" t="s">
        <v>1890</v>
      </c>
      <c r="G72" s="465" t="s">
        <v>1046</v>
      </c>
      <c r="H72" s="466">
        <v>0.52</v>
      </c>
      <c r="I72" s="466">
        <v>88</v>
      </c>
      <c r="J72" s="466">
        <v>0.46</v>
      </c>
      <c r="K72" s="464">
        <v>7</v>
      </c>
      <c r="L72" s="466">
        <v>4</v>
      </c>
      <c r="M72" s="464">
        <v>1</v>
      </c>
      <c r="N72" s="522"/>
    </row>
    <row r="73" spans="1:14" s="523" customFormat="1" ht="15">
      <c r="A73" s="522"/>
      <c r="B73" s="467" t="s">
        <v>1887</v>
      </c>
      <c r="C73" s="466">
        <v>40</v>
      </c>
      <c r="D73" s="466">
        <v>-98</v>
      </c>
      <c r="E73" s="466">
        <v>2010</v>
      </c>
      <c r="F73" s="465" t="s">
        <v>1890</v>
      </c>
      <c r="G73" s="465" t="s">
        <v>1046</v>
      </c>
      <c r="H73" s="466">
        <v>9.08</v>
      </c>
      <c r="I73" s="466">
        <v>88</v>
      </c>
      <c r="J73" s="466">
        <v>7.99</v>
      </c>
      <c r="K73" s="464">
        <v>7</v>
      </c>
      <c r="L73" s="466">
        <v>4</v>
      </c>
      <c r="M73" s="464">
        <v>1</v>
      </c>
      <c r="N73" s="522"/>
    </row>
    <row r="74" spans="1:14" s="523" customFormat="1" ht="15">
      <c r="A74" s="522"/>
      <c r="B74" s="467" t="s">
        <v>1887</v>
      </c>
      <c r="C74" s="466">
        <v>40</v>
      </c>
      <c r="D74" s="466">
        <v>-98</v>
      </c>
      <c r="E74" s="466">
        <v>2010</v>
      </c>
      <c r="F74" s="465" t="s">
        <v>1891</v>
      </c>
      <c r="G74" s="465" t="s">
        <v>1046</v>
      </c>
      <c r="H74" s="466">
        <v>0.36</v>
      </c>
      <c r="I74" s="466">
        <v>68</v>
      </c>
      <c r="J74" s="466">
        <v>0.24</v>
      </c>
      <c r="K74" s="464">
        <v>7</v>
      </c>
      <c r="L74" s="466">
        <v>4</v>
      </c>
      <c r="M74" s="464">
        <v>1</v>
      </c>
      <c r="N74" s="522"/>
    </row>
    <row r="75" spans="1:14" s="523" customFormat="1" ht="15">
      <c r="A75" s="522"/>
      <c r="B75" s="467" t="s">
        <v>1887</v>
      </c>
      <c r="C75" s="466">
        <v>40</v>
      </c>
      <c r="D75" s="466">
        <v>-98</v>
      </c>
      <c r="E75" s="466">
        <v>2010</v>
      </c>
      <c r="F75" s="465" t="s">
        <v>1890</v>
      </c>
      <c r="G75" s="465" t="s">
        <v>1046</v>
      </c>
      <c r="H75" s="466">
        <v>2.4</v>
      </c>
      <c r="I75" s="466">
        <v>0.9</v>
      </c>
      <c r="J75" s="466">
        <v>2.1</v>
      </c>
      <c r="K75" s="464">
        <v>7</v>
      </c>
      <c r="L75" s="466">
        <v>4</v>
      </c>
      <c r="M75" s="464">
        <v>2</v>
      </c>
      <c r="N75" s="522"/>
    </row>
    <row r="76" spans="1:14" s="523" customFormat="1" ht="15">
      <c r="A76" s="522"/>
      <c r="B76" s="467" t="s">
        <v>1887</v>
      </c>
      <c r="C76" s="466">
        <v>46.73</v>
      </c>
      <c r="D76" s="466">
        <v>-117.18</v>
      </c>
      <c r="E76" s="466">
        <v>2004</v>
      </c>
      <c r="F76" s="465" t="s">
        <v>1889</v>
      </c>
      <c r="G76" s="465" t="s">
        <v>273</v>
      </c>
      <c r="H76" s="466">
        <v>12</v>
      </c>
      <c r="I76" s="466">
        <v>90</v>
      </c>
      <c r="J76" s="466">
        <v>11</v>
      </c>
      <c r="K76" s="464">
        <v>7</v>
      </c>
      <c r="L76" s="466">
        <v>4</v>
      </c>
      <c r="M76" s="464">
        <v>3</v>
      </c>
      <c r="N76" s="522"/>
    </row>
    <row r="77" spans="1:14" s="523" customFormat="1" ht="15">
      <c r="A77" s="522"/>
      <c r="B77" s="607" t="s">
        <v>2024</v>
      </c>
      <c r="C77" s="608">
        <v>-10.53</v>
      </c>
      <c r="D77" s="608">
        <v>31.14</v>
      </c>
      <c r="E77" s="608" t="s">
        <v>1549</v>
      </c>
      <c r="F77" s="608" t="s">
        <v>273</v>
      </c>
      <c r="G77" s="608" t="s">
        <v>273</v>
      </c>
      <c r="H77" s="608">
        <v>109</v>
      </c>
      <c r="I77" s="608">
        <v>50</v>
      </c>
      <c r="J77" s="608">
        <v>54.5</v>
      </c>
      <c r="K77" s="608">
        <v>6</v>
      </c>
      <c r="L77" s="608">
        <v>4</v>
      </c>
      <c r="M77" s="608">
        <v>1</v>
      </c>
      <c r="N77" s="522"/>
    </row>
    <row r="78" spans="1:14" s="523" customFormat="1" ht="15">
      <c r="A78" s="522"/>
      <c r="B78" s="607" t="s">
        <v>2024</v>
      </c>
      <c r="C78" s="608">
        <v>-10.53</v>
      </c>
      <c r="D78" s="608">
        <v>31.14</v>
      </c>
      <c r="E78" s="608" t="s">
        <v>1549</v>
      </c>
      <c r="F78" s="608" t="s">
        <v>273</v>
      </c>
      <c r="G78" s="608" t="s">
        <v>273</v>
      </c>
      <c r="H78" s="608">
        <v>40</v>
      </c>
      <c r="I78" s="608">
        <v>77</v>
      </c>
      <c r="J78" s="608">
        <v>30.8</v>
      </c>
      <c r="K78" s="608">
        <v>6</v>
      </c>
      <c r="L78" s="608">
        <v>4</v>
      </c>
      <c r="M78" s="608">
        <v>1</v>
      </c>
      <c r="N78" s="522"/>
    </row>
    <row r="79" spans="1:14" s="523" customFormat="1" ht="15">
      <c r="A79" s="522"/>
      <c r="B79" s="607" t="s">
        <v>2024</v>
      </c>
      <c r="C79" s="608">
        <v>-10.53</v>
      </c>
      <c r="D79" s="608">
        <v>31.14</v>
      </c>
      <c r="E79" s="608" t="s">
        <v>1549</v>
      </c>
      <c r="F79" s="608" t="s">
        <v>273</v>
      </c>
      <c r="G79" s="608" t="s">
        <v>273</v>
      </c>
      <c r="H79" s="608">
        <v>74.5</v>
      </c>
      <c r="I79" s="608">
        <v>63.5</v>
      </c>
      <c r="J79" s="608">
        <v>42.7</v>
      </c>
      <c r="K79" s="608">
        <v>6</v>
      </c>
      <c r="L79" s="608">
        <v>4</v>
      </c>
      <c r="M79" s="608">
        <v>2</v>
      </c>
      <c r="N79" s="522"/>
    </row>
    <row r="80" spans="1:14" s="523" customFormat="1" ht="15">
      <c r="A80" s="522"/>
      <c r="B80" s="607" t="s">
        <v>1782</v>
      </c>
      <c r="C80" s="608">
        <v>17.59</v>
      </c>
      <c r="D80" s="608">
        <v>81.55</v>
      </c>
      <c r="E80" s="608">
        <v>1999</v>
      </c>
      <c r="F80" s="608">
        <v>2</v>
      </c>
      <c r="G80" s="608">
        <v>20</v>
      </c>
      <c r="H80" s="608">
        <v>13</v>
      </c>
      <c r="I80" s="608">
        <v>36</v>
      </c>
      <c r="J80" s="608">
        <v>5</v>
      </c>
      <c r="K80" s="608">
        <v>6</v>
      </c>
      <c r="L80" s="608">
        <v>4</v>
      </c>
      <c r="M80" s="608">
        <v>1</v>
      </c>
      <c r="N80" s="522"/>
    </row>
    <row r="81" spans="1:14" s="523" customFormat="1" ht="15">
      <c r="A81" s="522"/>
      <c r="B81" s="607" t="s">
        <v>1782</v>
      </c>
      <c r="C81" s="608">
        <v>17.59</v>
      </c>
      <c r="D81" s="608">
        <v>81.55</v>
      </c>
      <c r="E81" s="608">
        <v>1999</v>
      </c>
      <c r="F81" s="608">
        <v>2</v>
      </c>
      <c r="G81" s="608">
        <v>22</v>
      </c>
      <c r="H81" s="608">
        <v>14</v>
      </c>
      <c r="I81" s="608">
        <v>24</v>
      </c>
      <c r="J81" s="608">
        <v>3</v>
      </c>
      <c r="K81" s="608">
        <v>6</v>
      </c>
      <c r="L81" s="608">
        <v>4</v>
      </c>
      <c r="M81" s="608">
        <v>1</v>
      </c>
      <c r="N81" s="522"/>
    </row>
    <row r="82" spans="1:14" s="523" customFormat="1" ht="15">
      <c r="A82" s="522"/>
      <c r="B82" s="607" t="s">
        <v>1782</v>
      </c>
      <c r="C82" s="608">
        <v>17.59</v>
      </c>
      <c r="D82" s="608">
        <v>81.55</v>
      </c>
      <c r="E82" s="608">
        <v>1999</v>
      </c>
      <c r="F82" s="608">
        <v>2</v>
      </c>
      <c r="G82" s="608">
        <v>20</v>
      </c>
      <c r="H82" s="608">
        <v>13.5</v>
      </c>
      <c r="I82" s="608">
        <v>30</v>
      </c>
      <c r="J82" s="608">
        <v>4</v>
      </c>
      <c r="K82" s="608">
        <v>6</v>
      </c>
      <c r="L82" s="608">
        <v>4</v>
      </c>
      <c r="M82" s="608">
        <v>2</v>
      </c>
      <c r="N82" s="522"/>
    </row>
    <row r="83" spans="1:14" s="523" customFormat="1" ht="15">
      <c r="A83" s="522"/>
      <c r="B83" s="468" t="s">
        <v>2025</v>
      </c>
      <c r="C83" s="469">
        <v>-9.17</v>
      </c>
      <c r="D83" s="469">
        <v>-63.18</v>
      </c>
      <c r="E83" s="469">
        <v>1995</v>
      </c>
      <c r="F83" s="469">
        <v>9</v>
      </c>
      <c r="G83" s="469">
        <v>2</v>
      </c>
      <c r="H83" s="469">
        <v>66.3</v>
      </c>
      <c r="I83" s="469">
        <v>31.2</v>
      </c>
      <c r="J83" s="469">
        <v>20.7</v>
      </c>
      <c r="K83" s="469">
        <v>5</v>
      </c>
      <c r="L83" s="469">
        <v>4</v>
      </c>
      <c r="M83" s="469">
        <v>3</v>
      </c>
      <c r="N83" s="522"/>
    </row>
    <row r="84" spans="1:14" s="523" customFormat="1" ht="15">
      <c r="A84" s="522"/>
      <c r="B84" s="468" t="s">
        <v>1780</v>
      </c>
      <c r="C84" s="469">
        <v>-5.3</v>
      </c>
      <c r="D84" s="469">
        <v>-49.15</v>
      </c>
      <c r="E84" s="469">
        <v>1991</v>
      </c>
      <c r="F84" s="469">
        <v>9</v>
      </c>
      <c r="G84" s="469">
        <v>9</v>
      </c>
      <c r="H84" s="469">
        <v>53.3</v>
      </c>
      <c r="I84" s="469">
        <v>82.5</v>
      </c>
      <c r="J84" s="469">
        <v>44</v>
      </c>
      <c r="K84" s="469">
        <v>5</v>
      </c>
      <c r="L84" s="469">
        <v>4</v>
      </c>
      <c r="M84" s="469">
        <v>3</v>
      </c>
      <c r="N84" s="522"/>
    </row>
    <row r="85" spans="1:14" s="523" customFormat="1" ht="15">
      <c r="A85" s="522"/>
      <c r="B85" s="468" t="s">
        <v>1780</v>
      </c>
      <c r="C85" s="469">
        <v>-9.1999999999999993</v>
      </c>
      <c r="D85" s="469">
        <v>-60.5</v>
      </c>
      <c r="E85" s="469">
        <v>1992</v>
      </c>
      <c r="F85" s="469">
        <v>8</v>
      </c>
      <c r="G85" s="469">
        <v>31</v>
      </c>
      <c r="H85" s="469">
        <v>73</v>
      </c>
      <c r="I85" s="469">
        <v>47.6</v>
      </c>
      <c r="J85" s="469">
        <v>34.799999999999997</v>
      </c>
      <c r="K85" s="469">
        <v>5</v>
      </c>
      <c r="L85" s="469">
        <v>4</v>
      </c>
      <c r="M85" s="469">
        <v>1</v>
      </c>
      <c r="N85" s="522"/>
    </row>
    <row r="86" spans="1:14" s="523" customFormat="1" ht="15">
      <c r="A86" s="522"/>
      <c r="B86" s="468" t="s">
        <v>1780</v>
      </c>
      <c r="C86" s="469">
        <v>-9.1999999999999993</v>
      </c>
      <c r="D86" s="469">
        <v>-60.5</v>
      </c>
      <c r="E86" s="469">
        <v>1992</v>
      </c>
      <c r="F86" s="469">
        <v>9</v>
      </c>
      <c r="G86" s="469">
        <v>25</v>
      </c>
      <c r="H86" s="469">
        <v>119</v>
      </c>
      <c r="I86" s="469">
        <v>20.5</v>
      </c>
      <c r="J86" s="469">
        <v>24.5</v>
      </c>
      <c r="K86" s="469">
        <v>5</v>
      </c>
      <c r="L86" s="469">
        <v>4</v>
      </c>
      <c r="M86" s="469">
        <v>1</v>
      </c>
      <c r="N86" s="522"/>
    </row>
    <row r="87" spans="1:14" s="523" customFormat="1" ht="15">
      <c r="A87" s="522"/>
      <c r="B87" s="468" t="s">
        <v>1780</v>
      </c>
      <c r="C87" s="469">
        <v>-9.1999999999999993</v>
      </c>
      <c r="D87" s="469">
        <v>-60.5</v>
      </c>
      <c r="E87" s="469">
        <v>1992</v>
      </c>
      <c r="F87" s="469">
        <v>9</v>
      </c>
      <c r="G87" s="469">
        <v>1</v>
      </c>
      <c r="H87" s="469">
        <v>59.8</v>
      </c>
      <c r="I87" s="469">
        <v>12.2</v>
      </c>
      <c r="J87" s="469">
        <v>4</v>
      </c>
      <c r="K87" s="469">
        <v>5</v>
      </c>
      <c r="L87" s="469">
        <v>4</v>
      </c>
      <c r="M87" s="469">
        <v>2</v>
      </c>
      <c r="N87" s="522"/>
    </row>
    <row r="88" spans="1:14" s="523" customFormat="1" ht="15">
      <c r="A88" s="522"/>
      <c r="B88" s="468" t="s">
        <v>1781</v>
      </c>
      <c r="C88" s="469">
        <v>2.54</v>
      </c>
      <c r="D88" s="469">
        <v>-61.28</v>
      </c>
      <c r="E88" s="469">
        <v>1993</v>
      </c>
      <c r="F88" s="469">
        <v>3</v>
      </c>
      <c r="G88" s="469" t="s">
        <v>1046</v>
      </c>
      <c r="H88" s="469">
        <v>119</v>
      </c>
      <c r="I88" s="469">
        <v>20</v>
      </c>
      <c r="J88" s="469">
        <v>24</v>
      </c>
      <c r="K88" s="469">
        <v>5</v>
      </c>
      <c r="L88" s="469">
        <v>4</v>
      </c>
      <c r="M88" s="469">
        <v>3</v>
      </c>
      <c r="N88" s="522"/>
    </row>
    <row r="89" spans="1:14" s="523" customFormat="1" ht="15">
      <c r="A89" s="522"/>
      <c r="B89" s="468" t="s">
        <v>1917</v>
      </c>
      <c r="C89" s="469">
        <v>19.3</v>
      </c>
      <c r="D89" s="469">
        <v>-105.3</v>
      </c>
      <c r="E89" s="469">
        <v>1995</v>
      </c>
      <c r="F89" s="469">
        <v>6</v>
      </c>
      <c r="G89" s="469">
        <v>15</v>
      </c>
      <c r="H89" s="469">
        <v>40.299999999999997</v>
      </c>
      <c r="I89" s="469">
        <v>63.1</v>
      </c>
      <c r="J89" s="469">
        <v>25.4</v>
      </c>
      <c r="K89" s="469">
        <v>5</v>
      </c>
      <c r="L89" s="469">
        <v>4</v>
      </c>
      <c r="M89" s="469">
        <v>1</v>
      </c>
      <c r="N89" s="522"/>
    </row>
    <row r="90" spans="1:14" s="523" customFormat="1" ht="15">
      <c r="A90" s="522"/>
      <c r="B90" s="468" t="s">
        <v>1917</v>
      </c>
      <c r="C90" s="469">
        <v>19.3</v>
      </c>
      <c r="D90" s="469">
        <v>-105.3</v>
      </c>
      <c r="E90" s="469">
        <v>1995</v>
      </c>
      <c r="F90" s="469">
        <v>6</v>
      </c>
      <c r="G90" s="469">
        <v>15</v>
      </c>
      <c r="H90" s="469">
        <v>29</v>
      </c>
      <c r="I90" s="469">
        <v>75</v>
      </c>
      <c r="J90" s="469">
        <v>21.8</v>
      </c>
      <c r="K90" s="469">
        <v>5</v>
      </c>
      <c r="L90" s="469">
        <v>4</v>
      </c>
      <c r="M90" s="469">
        <v>1</v>
      </c>
      <c r="N90" s="522"/>
    </row>
    <row r="91" spans="1:14" s="523" customFormat="1" ht="15">
      <c r="A91" s="522"/>
      <c r="B91" s="468" t="s">
        <v>1917</v>
      </c>
      <c r="C91" s="469">
        <v>19.3</v>
      </c>
      <c r="D91" s="469">
        <v>-105.3</v>
      </c>
      <c r="E91" s="469">
        <v>1995</v>
      </c>
      <c r="F91" s="469">
        <v>6</v>
      </c>
      <c r="G91" s="469">
        <v>15</v>
      </c>
      <c r="H91" s="469">
        <v>34.700000000000003</v>
      </c>
      <c r="I91" s="469">
        <v>69.099999999999994</v>
      </c>
      <c r="J91" s="469">
        <v>23.6</v>
      </c>
      <c r="K91" s="469">
        <v>5</v>
      </c>
      <c r="L91" s="469">
        <v>4</v>
      </c>
      <c r="M91" s="469">
        <v>2</v>
      </c>
      <c r="N91" s="522"/>
    </row>
    <row r="92" spans="1:14" s="523" customFormat="1" ht="15">
      <c r="A92" s="522"/>
      <c r="B92" s="471" t="s">
        <v>1899</v>
      </c>
      <c r="C92" s="472">
        <v>46.89</v>
      </c>
      <c r="D92" s="472">
        <v>-83.43</v>
      </c>
      <c r="E92" s="470">
        <v>1978</v>
      </c>
      <c r="F92" s="470">
        <v>5</v>
      </c>
      <c r="G92" s="470">
        <v>23</v>
      </c>
      <c r="H92" s="470">
        <v>101</v>
      </c>
      <c r="I92" s="470">
        <v>67</v>
      </c>
      <c r="J92" s="470">
        <v>32.5</v>
      </c>
      <c r="K92" s="472">
        <v>4</v>
      </c>
      <c r="L92" s="470">
        <v>4</v>
      </c>
      <c r="M92" s="472">
        <v>1</v>
      </c>
      <c r="N92" s="522"/>
    </row>
    <row r="93" spans="1:14" s="523" customFormat="1" ht="15">
      <c r="A93" s="522"/>
      <c r="B93" s="471" t="s">
        <v>1899</v>
      </c>
      <c r="C93" s="472">
        <v>46.89</v>
      </c>
      <c r="D93" s="472">
        <v>-83.43</v>
      </c>
      <c r="E93" s="470">
        <v>1978</v>
      </c>
      <c r="F93" s="470">
        <v>5</v>
      </c>
      <c r="G93" s="470">
        <v>25</v>
      </c>
      <c r="H93" s="470">
        <v>104</v>
      </c>
      <c r="I93" s="470">
        <v>57</v>
      </c>
      <c r="J93" s="470">
        <v>44.8</v>
      </c>
      <c r="K93" s="472">
        <v>4</v>
      </c>
      <c r="L93" s="470">
        <v>4</v>
      </c>
      <c r="M93" s="472">
        <v>1</v>
      </c>
      <c r="N93" s="522"/>
    </row>
    <row r="94" spans="1:14" s="523" customFormat="1" ht="15">
      <c r="A94" s="522"/>
      <c r="B94" s="471" t="s">
        <v>1899</v>
      </c>
      <c r="C94" s="472">
        <v>46.89</v>
      </c>
      <c r="D94" s="472">
        <v>-83.43</v>
      </c>
      <c r="E94" s="470">
        <v>1981</v>
      </c>
      <c r="F94" s="470">
        <v>5</v>
      </c>
      <c r="G94" s="470">
        <v>17</v>
      </c>
      <c r="H94" s="470">
        <v>93</v>
      </c>
      <c r="I94" s="470">
        <v>71</v>
      </c>
      <c r="J94" s="470">
        <v>26.5</v>
      </c>
      <c r="K94" s="472">
        <v>4</v>
      </c>
      <c r="L94" s="470">
        <v>4</v>
      </c>
      <c r="M94" s="472">
        <v>1</v>
      </c>
      <c r="N94" s="522"/>
    </row>
    <row r="95" spans="1:14" s="523" customFormat="1" ht="15">
      <c r="A95" s="522"/>
      <c r="B95" s="471" t="s">
        <v>1899</v>
      </c>
      <c r="C95" s="472">
        <v>46.89</v>
      </c>
      <c r="D95" s="472">
        <v>-83.43</v>
      </c>
      <c r="E95" s="470">
        <v>1982</v>
      </c>
      <c r="F95" s="470">
        <v>5</v>
      </c>
      <c r="G95" s="470">
        <v>25</v>
      </c>
      <c r="H95" s="470">
        <v>99</v>
      </c>
      <c r="I95" s="470">
        <v>72</v>
      </c>
      <c r="J95" s="470">
        <v>28</v>
      </c>
      <c r="K95" s="472">
        <v>4</v>
      </c>
      <c r="L95" s="470">
        <v>4</v>
      </c>
      <c r="M95" s="472">
        <v>1</v>
      </c>
      <c r="N95" s="522"/>
    </row>
    <row r="96" spans="1:14" s="523" customFormat="1" ht="15">
      <c r="A96" s="522"/>
      <c r="B96" s="471" t="s">
        <v>1899</v>
      </c>
      <c r="C96" s="472">
        <v>46.89</v>
      </c>
      <c r="D96" s="472">
        <v>-83.43</v>
      </c>
      <c r="E96" s="470">
        <v>1982</v>
      </c>
      <c r="F96" s="470">
        <v>6</v>
      </c>
      <c r="G96" s="470">
        <v>6</v>
      </c>
      <c r="H96" s="470">
        <v>103</v>
      </c>
      <c r="I96" s="470">
        <v>64</v>
      </c>
      <c r="J96" s="470">
        <v>36.6</v>
      </c>
      <c r="K96" s="472">
        <v>4</v>
      </c>
      <c r="L96" s="470">
        <v>4</v>
      </c>
      <c r="M96" s="472">
        <v>1</v>
      </c>
      <c r="N96" s="522"/>
    </row>
    <row r="97" spans="1:14" s="523" customFormat="1" ht="15">
      <c r="A97" s="522"/>
      <c r="B97" s="471" t="s">
        <v>1899</v>
      </c>
      <c r="C97" s="472">
        <v>46.89</v>
      </c>
      <c r="D97" s="472">
        <v>-83.43</v>
      </c>
      <c r="E97" s="470">
        <v>1982</v>
      </c>
      <c r="F97" s="470">
        <v>6</v>
      </c>
      <c r="G97" s="470">
        <v>27</v>
      </c>
      <c r="H97" s="470">
        <v>96</v>
      </c>
      <c r="I97" s="470">
        <v>66</v>
      </c>
      <c r="J97" s="470">
        <v>34</v>
      </c>
      <c r="K97" s="472">
        <v>4</v>
      </c>
      <c r="L97" s="470">
        <v>4</v>
      </c>
      <c r="M97" s="472">
        <v>1</v>
      </c>
      <c r="N97" s="522"/>
    </row>
    <row r="98" spans="1:14" s="523" customFormat="1" ht="15">
      <c r="A98" s="522"/>
      <c r="B98" s="471" t="s">
        <v>1899</v>
      </c>
      <c r="C98" s="472">
        <v>46.89</v>
      </c>
      <c r="D98" s="472">
        <v>-83.43</v>
      </c>
      <c r="E98" s="470" t="s">
        <v>1900</v>
      </c>
      <c r="F98" s="475" t="s">
        <v>2037</v>
      </c>
      <c r="G98" s="475" t="s">
        <v>1901</v>
      </c>
      <c r="H98" s="475">
        <v>99.3</v>
      </c>
      <c r="I98" s="475">
        <v>66.2</v>
      </c>
      <c r="J98" s="470">
        <v>33.700000000000003</v>
      </c>
      <c r="K98" s="472">
        <v>4</v>
      </c>
      <c r="L98" s="470">
        <v>4</v>
      </c>
      <c r="M98" s="472">
        <v>2</v>
      </c>
      <c r="N98" s="522"/>
    </row>
    <row r="99" spans="1:14" s="523" customFormat="1" ht="15">
      <c r="A99" s="522"/>
      <c r="B99" s="471" t="s">
        <v>1902</v>
      </c>
      <c r="C99" s="472">
        <v>46.78</v>
      </c>
      <c r="D99" s="472">
        <v>-83.33</v>
      </c>
      <c r="E99" s="470">
        <v>1975</v>
      </c>
      <c r="F99" s="470">
        <v>6</v>
      </c>
      <c r="G99" s="470">
        <v>26</v>
      </c>
      <c r="H99" s="470">
        <v>43</v>
      </c>
      <c r="I99" s="470">
        <v>36</v>
      </c>
      <c r="J99" s="470">
        <v>16</v>
      </c>
      <c r="K99" s="472">
        <v>4</v>
      </c>
      <c r="L99" s="470">
        <v>4</v>
      </c>
      <c r="M99" s="472">
        <v>1</v>
      </c>
      <c r="N99" s="522"/>
    </row>
    <row r="100" spans="1:14" s="523" customFormat="1" ht="15">
      <c r="A100" s="522"/>
      <c r="B100" s="471" t="s">
        <v>1902</v>
      </c>
      <c r="C100" s="472">
        <v>46.78</v>
      </c>
      <c r="D100" s="472">
        <v>-83.33</v>
      </c>
      <c r="E100" s="470">
        <v>1975</v>
      </c>
      <c r="F100" s="470">
        <v>6</v>
      </c>
      <c r="G100" s="470">
        <v>26</v>
      </c>
      <c r="H100" s="470">
        <v>31</v>
      </c>
      <c r="I100" s="470">
        <v>67</v>
      </c>
      <c r="J100" s="470">
        <v>21</v>
      </c>
      <c r="K100" s="472">
        <v>4</v>
      </c>
      <c r="L100" s="470">
        <v>4</v>
      </c>
      <c r="M100" s="472">
        <v>1</v>
      </c>
      <c r="N100" s="522"/>
    </row>
    <row r="101" spans="1:14" s="523" customFormat="1" ht="15">
      <c r="A101" s="522"/>
      <c r="B101" s="471" t="s">
        <v>1902</v>
      </c>
      <c r="C101" s="472">
        <v>46.78</v>
      </c>
      <c r="D101" s="472">
        <v>-83.33</v>
      </c>
      <c r="E101" s="470">
        <v>1975</v>
      </c>
      <c r="F101" s="470">
        <v>6</v>
      </c>
      <c r="G101" s="470">
        <v>27</v>
      </c>
      <c r="H101" s="470">
        <v>42</v>
      </c>
      <c r="I101" s="470">
        <v>46</v>
      </c>
      <c r="J101" s="470">
        <v>19</v>
      </c>
      <c r="K101" s="472">
        <v>4</v>
      </c>
      <c r="L101" s="470">
        <v>4</v>
      </c>
      <c r="M101" s="472">
        <v>1</v>
      </c>
      <c r="N101" s="522"/>
    </row>
    <row r="102" spans="1:14" s="523" customFormat="1" ht="15">
      <c r="A102" s="522"/>
      <c r="B102" s="471" t="s">
        <v>1902</v>
      </c>
      <c r="C102" s="472">
        <v>46.78</v>
      </c>
      <c r="D102" s="472">
        <v>-83.33</v>
      </c>
      <c r="E102" s="470">
        <v>1975</v>
      </c>
      <c r="F102" s="470">
        <v>6</v>
      </c>
      <c r="G102" s="470">
        <v>30</v>
      </c>
      <c r="H102" s="470">
        <v>50</v>
      </c>
      <c r="I102" s="470">
        <v>52</v>
      </c>
      <c r="J102" s="470">
        <v>26</v>
      </c>
      <c r="K102" s="472">
        <v>4</v>
      </c>
      <c r="L102" s="470">
        <v>4</v>
      </c>
      <c r="M102" s="472">
        <v>1</v>
      </c>
      <c r="N102" s="522"/>
    </row>
    <row r="103" spans="1:14" s="523" customFormat="1" ht="15">
      <c r="A103" s="522"/>
      <c r="B103" s="471" t="s">
        <v>1902</v>
      </c>
      <c r="C103" s="472">
        <v>46.78</v>
      </c>
      <c r="D103" s="472">
        <v>-83.33</v>
      </c>
      <c r="E103" s="470">
        <v>1975</v>
      </c>
      <c r="F103" s="470">
        <v>7</v>
      </c>
      <c r="G103" s="470">
        <v>1</v>
      </c>
      <c r="H103" s="470">
        <v>65</v>
      </c>
      <c r="I103" s="470">
        <v>34</v>
      </c>
      <c r="J103" s="470">
        <v>22</v>
      </c>
      <c r="K103" s="472">
        <v>4</v>
      </c>
      <c r="L103" s="470">
        <v>4</v>
      </c>
      <c r="M103" s="472">
        <v>1</v>
      </c>
      <c r="N103" s="522"/>
    </row>
    <row r="104" spans="1:14" s="523" customFormat="1" ht="15">
      <c r="A104" s="522"/>
      <c r="B104" s="471" t="s">
        <v>1902</v>
      </c>
      <c r="C104" s="472">
        <v>46.78</v>
      </c>
      <c r="D104" s="472">
        <v>-83.33</v>
      </c>
      <c r="E104" s="470">
        <v>1976</v>
      </c>
      <c r="F104" s="470">
        <v>6</v>
      </c>
      <c r="G104" s="470">
        <v>4</v>
      </c>
      <c r="H104" s="470">
        <v>46</v>
      </c>
      <c r="I104" s="470">
        <v>20</v>
      </c>
      <c r="J104" s="470">
        <v>10</v>
      </c>
      <c r="K104" s="472">
        <v>4</v>
      </c>
      <c r="L104" s="470">
        <v>4</v>
      </c>
      <c r="M104" s="472">
        <v>1</v>
      </c>
      <c r="N104" s="522"/>
    </row>
    <row r="105" spans="1:14" s="523" customFormat="1" ht="15">
      <c r="A105" s="522"/>
      <c r="B105" s="471" t="s">
        <v>1902</v>
      </c>
      <c r="C105" s="472">
        <v>46.78</v>
      </c>
      <c r="D105" s="472">
        <v>-83.33</v>
      </c>
      <c r="E105" s="470">
        <v>1976</v>
      </c>
      <c r="F105" s="470">
        <v>7</v>
      </c>
      <c r="G105" s="470">
        <v>6</v>
      </c>
      <c r="H105" s="470">
        <v>65</v>
      </c>
      <c r="I105" s="470">
        <v>45</v>
      </c>
      <c r="J105" s="470">
        <v>29</v>
      </c>
      <c r="K105" s="472">
        <v>4</v>
      </c>
      <c r="L105" s="470">
        <v>4</v>
      </c>
      <c r="M105" s="472">
        <v>1</v>
      </c>
      <c r="N105" s="522"/>
    </row>
    <row r="106" spans="1:14" s="523" customFormat="1" ht="15">
      <c r="A106" s="522"/>
      <c r="B106" s="471" t="s">
        <v>1902</v>
      </c>
      <c r="C106" s="472">
        <v>46.78</v>
      </c>
      <c r="D106" s="472">
        <v>-83.33</v>
      </c>
      <c r="E106" s="470">
        <v>1976</v>
      </c>
      <c r="F106" s="470">
        <v>7</v>
      </c>
      <c r="G106" s="470">
        <v>9</v>
      </c>
      <c r="H106" s="470">
        <v>42</v>
      </c>
      <c r="I106" s="470">
        <v>71</v>
      </c>
      <c r="J106" s="470">
        <v>30</v>
      </c>
      <c r="K106" s="472">
        <v>4</v>
      </c>
      <c r="L106" s="470">
        <v>4</v>
      </c>
      <c r="M106" s="472">
        <v>1</v>
      </c>
      <c r="N106" s="522"/>
    </row>
    <row r="107" spans="1:14" s="523" customFormat="1" ht="15">
      <c r="A107" s="522"/>
      <c r="B107" s="471" t="s">
        <v>1902</v>
      </c>
      <c r="C107" s="472">
        <v>46.78</v>
      </c>
      <c r="D107" s="472">
        <v>-83.33</v>
      </c>
      <c r="E107" s="470">
        <v>1976</v>
      </c>
      <c r="F107" s="470">
        <v>7</v>
      </c>
      <c r="G107" s="470">
        <v>9</v>
      </c>
      <c r="H107" s="470">
        <v>49</v>
      </c>
      <c r="I107" s="470">
        <v>70</v>
      </c>
      <c r="J107" s="470">
        <v>34</v>
      </c>
      <c r="K107" s="472">
        <v>4</v>
      </c>
      <c r="L107" s="470">
        <v>4</v>
      </c>
      <c r="M107" s="472">
        <v>1</v>
      </c>
      <c r="N107" s="522"/>
    </row>
    <row r="108" spans="1:14" s="523" customFormat="1" ht="15">
      <c r="A108" s="522"/>
      <c r="B108" s="471" t="s">
        <v>1902</v>
      </c>
      <c r="C108" s="472">
        <v>46.78</v>
      </c>
      <c r="D108" s="472">
        <v>-83.33</v>
      </c>
      <c r="E108" s="470">
        <v>1976</v>
      </c>
      <c r="F108" s="470">
        <v>7</v>
      </c>
      <c r="G108" s="470">
        <v>13</v>
      </c>
      <c r="H108" s="470">
        <v>49</v>
      </c>
      <c r="I108" s="470">
        <v>69</v>
      </c>
      <c r="J108" s="470">
        <v>34</v>
      </c>
      <c r="K108" s="472">
        <v>4</v>
      </c>
      <c r="L108" s="470">
        <v>4</v>
      </c>
      <c r="M108" s="472">
        <v>1</v>
      </c>
      <c r="N108" s="522"/>
    </row>
    <row r="109" spans="1:14" s="523" customFormat="1" ht="15">
      <c r="A109" s="522"/>
      <c r="B109" s="471" t="s">
        <v>1902</v>
      </c>
      <c r="C109" s="472">
        <v>46.78</v>
      </c>
      <c r="D109" s="472">
        <v>-83.33</v>
      </c>
      <c r="E109" s="470">
        <v>1981</v>
      </c>
      <c r="F109" s="470">
        <v>7</v>
      </c>
      <c r="G109" s="470">
        <v>13</v>
      </c>
      <c r="H109" s="470">
        <v>41</v>
      </c>
      <c r="I109" s="470">
        <v>53</v>
      </c>
      <c r="J109" s="470">
        <v>22</v>
      </c>
      <c r="K109" s="472">
        <v>4</v>
      </c>
      <c r="L109" s="470">
        <v>4</v>
      </c>
      <c r="M109" s="472">
        <v>1</v>
      </c>
      <c r="N109" s="522"/>
    </row>
    <row r="110" spans="1:14" s="523" customFormat="1" ht="15">
      <c r="A110" s="522"/>
      <c r="B110" s="471" t="s">
        <v>1902</v>
      </c>
      <c r="C110" s="472">
        <v>46.78</v>
      </c>
      <c r="D110" s="472">
        <v>-83.33</v>
      </c>
      <c r="E110" s="470">
        <v>1981</v>
      </c>
      <c r="F110" s="470">
        <v>7</v>
      </c>
      <c r="G110" s="470">
        <v>15</v>
      </c>
      <c r="H110" s="470">
        <v>57</v>
      </c>
      <c r="I110" s="470">
        <v>26</v>
      </c>
      <c r="J110" s="470">
        <v>15</v>
      </c>
      <c r="K110" s="472">
        <v>4</v>
      </c>
      <c r="L110" s="470">
        <v>4</v>
      </c>
      <c r="M110" s="472">
        <v>1</v>
      </c>
      <c r="N110" s="522"/>
    </row>
    <row r="111" spans="1:14" s="523" customFormat="1" ht="15">
      <c r="A111" s="522"/>
      <c r="B111" s="471" t="s">
        <v>1902</v>
      </c>
      <c r="C111" s="472">
        <v>46.78</v>
      </c>
      <c r="D111" s="472">
        <v>-83.33</v>
      </c>
      <c r="E111" s="475" t="s">
        <v>1903</v>
      </c>
      <c r="F111" s="475" t="s">
        <v>1904</v>
      </c>
      <c r="G111" s="475" t="s">
        <v>1905</v>
      </c>
      <c r="H111" s="470">
        <v>48.3</v>
      </c>
      <c r="I111" s="470">
        <v>49.1</v>
      </c>
      <c r="J111" s="470">
        <v>23.2</v>
      </c>
      <c r="K111" s="472">
        <v>4</v>
      </c>
      <c r="L111" s="470">
        <v>4</v>
      </c>
      <c r="M111" s="472">
        <v>2</v>
      </c>
      <c r="N111" s="522"/>
    </row>
    <row r="112" spans="1:14" s="523" customFormat="1" ht="15">
      <c r="A112" s="522"/>
      <c r="B112" s="471" t="s">
        <v>1906</v>
      </c>
      <c r="C112" s="472">
        <v>48.92</v>
      </c>
      <c r="D112" s="472">
        <v>-85.29</v>
      </c>
      <c r="E112" s="470" t="s">
        <v>944</v>
      </c>
      <c r="F112" s="470" t="s">
        <v>1046</v>
      </c>
      <c r="G112" s="470" t="s">
        <v>1046</v>
      </c>
      <c r="H112" s="470">
        <v>176</v>
      </c>
      <c r="I112" s="470">
        <v>4</v>
      </c>
      <c r="J112" s="470">
        <v>7</v>
      </c>
      <c r="K112" s="472">
        <v>4</v>
      </c>
      <c r="L112" s="470">
        <v>2</v>
      </c>
      <c r="M112" s="472">
        <v>1</v>
      </c>
      <c r="N112" s="522"/>
    </row>
    <row r="113" spans="1:14" s="523" customFormat="1" ht="15">
      <c r="A113" s="522"/>
      <c r="B113" s="471" t="s">
        <v>2046</v>
      </c>
      <c r="C113" s="472">
        <v>48.92</v>
      </c>
      <c r="D113" s="472">
        <v>-85.29</v>
      </c>
      <c r="E113" s="470" t="s">
        <v>944</v>
      </c>
      <c r="F113" s="470" t="s">
        <v>1046</v>
      </c>
      <c r="G113" s="470" t="s">
        <v>1046</v>
      </c>
      <c r="H113" s="470">
        <v>153</v>
      </c>
      <c r="I113" s="470">
        <v>8</v>
      </c>
      <c r="J113" s="470">
        <v>13</v>
      </c>
      <c r="K113" s="472">
        <v>4</v>
      </c>
      <c r="L113" s="470">
        <v>3</v>
      </c>
      <c r="M113" s="472">
        <v>1</v>
      </c>
      <c r="N113" s="522"/>
    </row>
    <row r="114" spans="1:14" s="523" customFormat="1" ht="15">
      <c r="A114" s="522"/>
      <c r="B114" s="471" t="s">
        <v>2046</v>
      </c>
      <c r="C114" s="472">
        <v>48.92</v>
      </c>
      <c r="D114" s="472">
        <v>-85.29</v>
      </c>
      <c r="E114" s="470" t="s">
        <v>944</v>
      </c>
      <c r="F114" s="470" t="s">
        <v>1046</v>
      </c>
      <c r="G114" s="470" t="s">
        <v>1046</v>
      </c>
      <c r="H114" s="470">
        <v>212</v>
      </c>
      <c r="I114" s="470">
        <v>7</v>
      </c>
      <c r="J114" s="470">
        <v>14</v>
      </c>
      <c r="K114" s="472">
        <v>4</v>
      </c>
      <c r="L114" s="470">
        <v>3</v>
      </c>
      <c r="M114" s="472">
        <v>1</v>
      </c>
      <c r="N114" s="522"/>
    </row>
    <row r="115" spans="1:14" s="523" customFormat="1" ht="15">
      <c r="A115" s="522"/>
      <c r="B115" s="471" t="s">
        <v>2046</v>
      </c>
      <c r="C115" s="472">
        <v>48.92</v>
      </c>
      <c r="D115" s="472">
        <v>-85.29</v>
      </c>
      <c r="E115" s="470" t="s">
        <v>944</v>
      </c>
      <c r="F115" s="470" t="s">
        <v>1046</v>
      </c>
      <c r="G115" s="470" t="s">
        <v>1046</v>
      </c>
      <c r="H115" s="470">
        <v>177</v>
      </c>
      <c r="I115" s="470">
        <v>4</v>
      </c>
      <c r="J115" s="470">
        <v>7</v>
      </c>
      <c r="K115" s="472">
        <v>4</v>
      </c>
      <c r="L115" s="470">
        <v>2</v>
      </c>
      <c r="M115" s="472">
        <v>1</v>
      </c>
      <c r="N115" s="522"/>
    </row>
    <row r="116" spans="1:14" s="523" customFormat="1" ht="15">
      <c r="A116" s="522"/>
      <c r="B116" s="471" t="s">
        <v>2046</v>
      </c>
      <c r="C116" s="472">
        <v>48.92</v>
      </c>
      <c r="D116" s="472">
        <v>-85.29</v>
      </c>
      <c r="E116" s="470" t="s">
        <v>944</v>
      </c>
      <c r="F116" s="470" t="s">
        <v>1046</v>
      </c>
      <c r="G116" s="470" t="s">
        <v>1046</v>
      </c>
      <c r="H116" s="470">
        <v>168</v>
      </c>
      <c r="I116" s="470">
        <v>11</v>
      </c>
      <c r="J116" s="470">
        <v>18</v>
      </c>
      <c r="K116" s="472">
        <v>4</v>
      </c>
      <c r="L116" s="470">
        <v>3</v>
      </c>
      <c r="M116" s="472">
        <v>1</v>
      </c>
      <c r="N116" s="522"/>
    </row>
    <row r="117" spans="1:14" s="523" customFormat="1" ht="15">
      <c r="A117" s="522"/>
      <c r="B117" s="471" t="s">
        <v>2046</v>
      </c>
      <c r="C117" s="472">
        <v>48.92</v>
      </c>
      <c r="D117" s="472">
        <v>-85.29</v>
      </c>
      <c r="E117" s="470" t="s">
        <v>944</v>
      </c>
      <c r="F117" s="470" t="s">
        <v>1046</v>
      </c>
      <c r="G117" s="470" t="s">
        <v>1046</v>
      </c>
      <c r="H117" s="470">
        <v>159</v>
      </c>
      <c r="I117" s="470">
        <v>5</v>
      </c>
      <c r="J117" s="470">
        <v>8</v>
      </c>
      <c r="K117" s="472">
        <v>4</v>
      </c>
      <c r="L117" s="470">
        <v>2</v>
      </c>
      <c r="M117" s="472">
        <v>1</v>
      </c>
      <c r="N117" s="522"/>
    </row>
    <row r="118" spans="1:14" s="523" customFormat="1" ht="15">
      <c r="A118" s="522"/>
      <c r="B118" s="471" t="s">
        <v>2046</v>
      </c>
      <c r="C118" s="472">
        <v>48.92</v>
      </c>
      <c r="D118" s="472">
        <v>-85.29</v>
      </c>
      <c r="E118" s="470" t="s">
        <v>944</v>
      </c>
      <c r="F118" s="470" t="s">
        <v>1046</v>
      </c>
      <c r="G118" s="470" t="s">
        <v>1046</v>
      </c>
      <c r="H118" s="470">
        <v>157</v>
      </c>
      <c r="I118" s="470">
        <v>3</v>
      </c>
      <c r="J118" s="470">
        <v>4</v>
      </c>
      <c r="K118" s="472">
        <v>4</v>
      </c>
      <c r="L118" s="470">
        <v>2</v>
      </c>
      <c r="M118" s="472">
        <v>1</v>
      </c>
      <c r="N118" s="522"/>
    </row>
    <row r="119" spans="1:14" s="523" customFormat="1" ht="15">
      <c r="A119" s="522"/>
      <c r="B119" s="471" t="s">
        <v>2046</v>
      </c>
      <c r="C119" s="472">
        <v>48.92</v>
      </c>
      <c r="D119" s="472">
        <v>-85.29</v>
      </c>
      <c r="E119" s="470" t="s">
        <v>944</v>
      </c>
      <c r="F119" s="470" t="s">
        <v>1046</v>
      </c>
      <c r="G119" s="470" t="s">
        <v>1046</v>
      </c>
      <c r="H119" s="470">
        <v>176</v>
      </c>
      <c r="I119" s="470">
        <v>3</v>
      </c>
      <c r="J119" s="470">
        <v>6</v>
      </c>
      <c r="K119" s="472">
        <v>4</v>
      </c>
      <c r="L119" s="470">
        <v>2</v>
      </c>
      <c r="M119" s="472">
        <v>1</v>
      </c>
      <c r="N119" s="522"/>
    </row>
    <row r="120" spans="1:14" s="523" customFormat="1" ht="15">
      <c r="A120" s="522"/>
      <c r="B120" s="471" t="s">
        <v>2046</v>
      </c>
      <c r="C120" s="472">
        <v>48.92</v>
      </c>
      <c r="D120" s="472">
        <v>-85.29</v>
      </c>
      <c r="E120" s="470" t="s">
        <v>944</v>
      </c>
      <c r="F120" s="470" t="s">
        <v>1046</v>
      </c>
      <c r="G120" s="470" t="s">
        <v>1046</v>
      </c>
      <c r="H120" s="470">
        <v>142</v>
      </c>
      <c r="I120" s="470">
        <v>18</v>
      </c>
      <c r="J120" s="470">
        <v>25</v>
      </c>
      <c r="K120" s="472">
        <v>4</v>
      </c>
      <c r="L120" s="470">
        <v>3</v>
      </c>
      <c r="M120" s="472">
        <v>1</v>
      </c>
      <c r="N120" s="522"/>
    </row>
    <row r="121" spans="1:14" s="523" customFormat="1" ht="15">
      <c r="A121" s="522"/>
      <c r="B121" s="471" t="s">
        <v>2046</v>
      </c>
      <c r="C121" s="472">
        <v>48.92</v>
      </c>
      <c r="D121" s="472">
        <v>-85.29</v>
      </c>
      <c r="E121" s="470" t="s">
        <v>944</v>
      </c>
      <c r="F121" s="470" t="s">
        <v>1046</v>
      </c>
      <c r="G121" s="470" t="s">
        <v>1046</v>
      </c>
      <c r="H121" s="470">
        <v>173</v>
      </c>
      <c r="I121" s="470">
        <v>5</v>
      </c>
      <c r="J121" s="470">
        <v>9</v>
      </c>
      <c r="K121" s="472">
        <v>4</v>
      </c>
      <c r="L121" s="470">
        <v>2</v>
      </c>
      <c r="M121" s="472">
        <v>1</v>
      </c>
      <c r="N121" s="522"/>
    </row>
    <row r="122" spans="1:14" s="523" customFormat="1" ht="15">
      <c r="A122" s="522"/>
      <c r="B122" s="471" t="s">
        <v>2046</v>
      </c>
      <c r="C122" s="472">
        <v>48.92</v>
      </c>
      <c r="D122" s="472">
        <v>-85.29</v>
      </c>
      <c r="E122" s="470" t="s">
        <v>944</v>
      </c>
      <c r="F122" s="470" t="s">
        <v>1046</v>
      </c>
      <c r="G122" s="470" t="s">
        <v>1046</v>
      </c>
      <c r="H122" s="470">
        <v>151</v>
      </c>
      <c r="I122" s="470">
        <v>9</v>
      </c>
      <c r="J122" s="470">
        <v>13</v>
      </c>
      <c r="K122" s="472">
        <v>4</v>
      </c>
      <c r="L122" s="470">
        <v>3</v>
      </c>
      <c r="M122" s="472">
        <v>1</v>
      </c>
      <c r="N122" s="522"/>
    </row>
    <row r="123" spans="1:14" s="523" customFormat="1" ht="15">
      <c r="A123" s="522"/>
      <c r="B123" s="471" t="s">
        <v>2046</v>
      </c>
      <c r="C123" s="472">
        <v>48.92</v>
      </c>
      <c r="D123" s="472">
        <v>-85.29</v>
      </c>
      <c r="E123" s="470" t="s">
        <v>944</v>
      </c>
      <c r="F123" s="470" t="s">
        <v>1046</v>
      </c>
      <c r="G123" s="470" t="s">
        <v>1046</v>
      </c>
      <c r="H123" s="470">
        <v>156</v>
      </c>
      <c r="I123" s="470">
        <v>11</v>
      </c>
      <c r="J123" s="470">
        <v>17</v>
      </c>
      <c r="K123" s="472">
        <v>4</v>
      </c>
      <c r="L123" s="470">
        <v>3</v>
      </c>
      <c r="M123" s="472">
        <v>1</v>
      </c>
      <c r="N123" s="522"/>
    </row>
    <row r="124" spans="1:14" s="523" customFormat="1" ht="15">
      <c r="A124" s="522"/>
      <c r="B124" s="471" t="s">
        <v>2046</v>
      </c>
      <c r="C124" s="472">
        <v>48.92</v>
      </c>
      <c r="D124" s="472">
        <v>-85.29</v>
      </c>
      <c r="E124" s="470" t="s">
        <v>944</v>
      </c>
      <c r="F124" s="470" t="s">
        <v>1046</v>
      </c>
      <c r="G124" s="470" t="s">
        <v>1046</v>
      </c>
      <c r="H124" s="470">
        <v>331.7</v>
      </c>
      <c r="I124" s="470">
        <v>7.5</v>
      </c>
      <c r="J124" s="470">
        <v>24.3</v>
      </c>
      <c r="K124" s="472">
        <v>4</v>
      </c>
      <c r="L124" s="470">
        <v>4</v>
      </c>
      <c r="M124" s="470">
        <v>2</v>
      </c>
      <c r="N124" s="522"/>
    </row>
    <row r="125" spans="1:14" s="523" customFormat="1" ht="15">
      <c r="A125" s="522"/>
      <c r="B125" s="471" t="s">
        <v>2047</v>
      </c>
      <c r="C125" s="472">
        <v>61.67</v>
      </c>
      <c r="D125" s="472">
        <v>-117.65</v>
      </c>
      <c r="E125" s="470">
        <v>1997</v>
      </c>
      <c r="F125" s="475" t="s">
        <v>2048</v>
      </c>
      <c r="G125" s="475" t="s">
        <v>273</v>
      </c>
      <c r="H125" s="475" t="s">
        <v>273</v>
      </c>
      <c r="I125" s="470" t="s">
        <v>273</v>
      </c>
      <c r="J125" s="470">
        <v>42.7</v>
      </c>
      <c r="K125" s="470">
        <v>4</v>
      </c>
      <c r="L125" s="470">
        <v>4</v>
      </c>
      <c r="M125" s="470">
        <v>3</v>
      </c>
      <c r="N125" s="522"/>
    </row>
    <row r="126" spans="1:14" s="523" customFormat="1" ht="15">
      <c r="A126" s="522"/>
      <c r="B126" s="471" t="s">
        <v>2075</v>
      </c>
      <c r="C126" s="472">
        <v>63.38</v>
      </c>
      <c r="D126" s="472">
        <v>-158.25</v>
      </c>
      <c r="E126" s="470">
        <v>1997</v>
      </c>
      <c r="F126" s="470">
        <v>6</v>
      </c>
      <c r="G126" s="470">
        <v>10</v>
      </c>
      <c r="H126" s="475" t="s">
        <v>273</v>
      </c>
      <c r="I126" s="470" t="s">
        <v>273</v>
      </c>
      <c r="J126" s="470">
        <v>36.700000000000003</v>
      </c>
      <c r="K126" s="470">
        <v>4</v>
      </c>
      <c r="L126" s="470">
        <v>4</v>
      </c>
      <c r="M126" s="470">
        <v>3</v>
      </c>
      <c r="N126" s="522"/>
    </row>
    <row r="127" spans="1:14" s="523" customFormat="1" ht="15">
      <c r="A127" s="522"/>
      <c r="B127" s="471" t="s">
        <v>2076</v>
      </c>
      <c r="C127" s="472">
        <v>64.45</v>
      </c>
      <c r="D127" s="472">
        <v>-148.05000000000001</v>
      </c>
      <c r="E127" s="470" t="s">
        <v>273</v>
      </c>
      <c r="F127" s="470" t="s">
        <v>273</v>
      </c>
      <c r="G127" s="470" t="s">
        <v>273</v>
      </c>
      <c r="H127" s="470" t="s">
        <v>273</v>
      </c>
      <c r="I127" s="470" t="s">
        <v>273</v>
      </c>
      <c r="J127" s="470">
        <v>83</v>
      </c>
      <c r="K127" s="470">
        <v>4</v>
      </c>
      <c r="L127" s="470">
        <v>1</v>
      </c>
      <c r="M127" s="470">
        <v>3</v>
      </c>
      <c r="N127" s="522"/>
    </row>
    <row r="128" spans="1:14" s="523" customFormat="1" ht="15">
      <c r="A128" s="522"/>
      <c r="B128" s="471" t="s">
        <v>2076</v>
      </c>
      <c r="C128" s="472">
        <v>60.43</v>
      </c>
      <c r="D128" s="472">
        <v>-149.16999999999999</v>
      </c>
      <c r="E128" s="470" t="s">
        <v>273</v>
      </c>
      <c r="F128" s="470" t="s">
        <v>273</v>
      </c>
      <c r="G128" s="470" t="s">
        <v>273</v>
      </c>
      <c r="H128" s="470" t="s">
        <v>273</v>
      </c>
      <c r="I128" s="470" t="s">
        <v>273</v>
      </c>
      <c r="J128" s="470">
        <v>30.4</v>
      </c>
      <c r="K128" s="470">
        <v>4</v>
      </c>
      <c r="L128" s="470">
        <v>1</v>
      </c>
      <c r="M128" s="470">
        <v>3</v>
      </c>
      <c r="N128" s="522"/>
    </row>
    <row r="129" spans="1:14" s="523" customFormat="1" ht="15">
      <c r="A129" s="522"/>
      <c r="B129" s="471" t="s">
        <v>2076</v>
      </c>
      <c r="C129" s="472">
        <v>67.14</v>
      </c>
      <c r="D129" s="472">
        <v>-150.18</v>
      </c>
      <c r="E129" s="470" t="s">
        <v>273</v>
      </c>
      <c r="F129" s="470" t="s">
        <v>273</v>
      </c>
      <c r="G129" s="470" t="s">
        <v>273</v>
      </c>
      <c r="H129" s="470" t="s">
        <v>273</v>
      </c>
      <c r="I129" s="470" t="s">
        <v>273</v>
      </c>
      <c r="J129" s="470">
        <v>25.2</v>
      </c>
      <c r="K129" s="470">
        <v>4</v>
      </c>
      <c r="L129" s="470">
        <v>1</v>
      </c>
      <c r="M129" s="470">
        <v>3</v>
      </c>
      <c r="N129" s="522"/>
    </row>
    <row r="130" spans="1:14" s="523" customFormat="1" ht="15">
      <c r="A130" s="522"/>
      <c r="B130" s="471" t="s">
        <v>2076</v>
      </c>
      <c r="C130" s="472">
        <v>63.12</v>
      </c>
      <c r="D130" s="472">
        <v>-143.59</v>
      </c>
      <c r="E130" s="470" t="s">
        <v>273</v>
      </c>
      <c r="F130" s="470" t="s">
        <v>273</v>
      </c>
      <c r="G130" s="470" t="s">
        <v>273</v>
      </c>
      <c r="H130" s="470" t="s">
        <v>273</v>
      </c>
      <c r="I130" s="470" t="s">
        <v>273</v>
      </c>
      <c r="J130" s="470">
        <v>50.6</v>
      </c>
      <c r="K130" s="470">
        <v>4</v>
      </c>
      <c r="L130" s="470">
        <v>1</v>
      </c>
      <c r="M130" s="470">
        <v>3</v>
      </c>
      <c r="N130" s="522"/>
    </row>
    <row r="131" spans="1:14" s="523" customFormat="1" ht="15">
      <c r="A131" s="522"/>
      <c r="B131" s="471" t="s">
        <v>2076</v>
      </c>
      <c r="C131" s="472">
        <v>63.45</v>
      </c>
      <c r="D131" s="472">
        <v>-145.12</v>
      </c>
      <c r="E131" s="470" t="s">
        <v>273</v>
      </c>
      <c r="F131" s="470" t="s">
        <v>273</v>
      </c>
      <c r="G131" s="470" t="s">
        <v>273</v>
      </c>
      <c r="H131" s="470" t="s">
        <v>273</v>
      </c>
      <c r="I131" s="470" t="s">
        <v>273</v>
      </c>
      <c r="J131" s="470">
        <v>40.6</v>
      </c>
      <c r="K131" s="470">
        <v>4</v>
      </c>
      <c r="L131" s="470">
        <v>1</v>
      </c>
      <c r="M131" s="470">
        <v>3</v>
      </c>
      <c r="N131" s="522"/>
    </row>
    <row r="132" spans="1:14" s="523" customFormat="1" ht="15">
      <c r="A132" s="522"/>
      <c r="B132" s="471" t="s">
        <v>2076</v>
      </c>
      <c r="C132" s="472">
        <v>63.08</v>
      </c>
      <c r="D132" s="472">
        <v>-142.30000000000001</v>
      </c>
      <c r="E132" s="470" t="s">
        <v>273</v>
      </c>
      <c r="F132" s="470" t="s">
        <v>273</v>
      </c>
      <c r="G132" s="470" t="s">
        <v>273</v>
      </c>
      <c r="H132" s="470" t="s">
        <v>273</v>
      </c>
      <c r="I132" s="470" t="s">
        <v>273</v>
      </c>
      <c r="J132" s="470">
        <v>55.6</v>
      </c>
      <c r="K132" s="470">
        <v>4</v>
      </c>
      <c r="L132" s="470">
        <v>1</v>
      </c>
      <c r="M132" s="470">
        <v>3</v>
      </c>
      <c r="N132" s="522"/>
    </row>
    <row r="133" spans="1:14" s="523" customFormat="1" ht="15">
      <c r="A133" s="522"/>
      <c r="B133" s="471" t="s">
        <v>2076</v>
      </c>
      <c r="C133" s="472">
        <v>63.5</v>
      </c>
      <c r="D133" s="472">
        <v>-145.15</v>
      </c>
      <c r="E133" s="470" t="s">
        <v>273</v>
      </c>
      <c r="F133" s="470" t="s">
        <v>273</v>
      </c>
      <c r="G133" s="470" t="s">
        <v>273</v>
      </c>
      <c r="H133" s="470" t="s">
        <v>273</v>
      </c>
      <c r="I133" s="470" t="s">
        <v>273</v>
      </c>
      <c r="J133" s="470">
        <v>106.4</v>
      </c>
      <c r="K133" s="470">
        <v>4</v>
      </c>
      <c r="L133" s="470">
        <v>1</v>
      </c>
      <c r="M133" s="470">
        <v>1</v>
      </c>
      <c r="N133" s="522"/>
    </row>
    <row r="134" spans="1:14" s="523" customFormat="1" ht="15">
      <c r="A134" s="522"/>
      <c r="B134" s="471" t="s">
        <v>2076</v>
      </c>
      <c r="C134" s="472">
        <v>63.5</v>
      </c>
      <c r="D134" s="472">
        <v>-145.15</v>
      </c>
      <c r="E134" s="470" t="s">
        <v>273</v>
      </c>
      <c r="F134" s="470" t="s">
        <v>273</v>
      </c>
      <c r="G134" s="470" t="s">
        <v>273</v>
      </c>
      <c r="H134" s="470" t="s">
        <v>273</v>
      </c>
      <c r="I134" s="470" t="s">
        <v>273</v>
      </c>
      <c r="J134" s="470">
        <v>151.80000000000001</v>
      </c>
      <c r="K134" s="470">
        <v>4</v>
      </c>
      <c r="L134" s="470">
        <v>1</v>
      </c>
      <c r="M134" s="470">
        <v>1</v>
      </c>
      <c r="N134" s="522"/>
    </row>
    <row r="135" spans="1:14" s="523" customFormat="1" ht="15">
      <c r="A135" s="522"/>
      <c r="B135" s="471" t="s">
        <v>2076</v>
      </c>
      <c r="C135" s="472">
        <v>63.5</v>
      </c>
      <c r="D135" s="472">
        <v>-145.15</v>
      </c>
      <c r="E135" s="470" t="s">
        <v>273</v>
      </c>
      <c r="F135" s="470" t="s">
        <v>273</v>
      </c>
      <c r="G135" s="470" t="s">
        <v>273</v>
      </c>
      <c r="H135" s="470" t="s">
        <v>273</v>
      </c>
      <c r="I135" s="470" t="s">
        <v>273</v>
      </c>
      <c r="J135" s="470">
        <v>129.1</v>
      </c>
      <c r="K135" s="470">
        <v>4</v>
      </c>
      <c r="L135" s="470">
        <v>1</v>
      </c>
      <c r="M135" s="470">
        <v>2</v>
      </c>
      <c r="N135" s="522"/>
    </row>
    <row r="136" spans="1:14" s="523" customFormat="1" ht="15">
      <c r="A136" s="522"/>
      <c r="B136" s="471" t="s">
        <v>2077</v>
      </c>
      <c r="C136" s="472">
        <v>61.6</v>
      </c>
      <c r="D136" s="472">
        <v>-117.2</v>
      </c>
      <c r="E136" s="470">
        <v>1997</v>
      </c>
      <c r="F136" s="473">
        <v>7</v>
      </c>
      <c r="G136" s="470">
        <v>1</v>
      </c>
      <c r="H136" s="475">
        <v>75</v>
      </c>
      <c r="I136" s="470">
        <v>50.7</v>
      </c>
      <c r="J136" s="470">
        <v>38</v>
      </c>
      <c r="K136" s="472">
        <v>4</v>
      </c>
      <c r="L136" s="470">
        <v>4</v>
      </c>
      <c r="M136" s="472">
        <v>1</v>
      </c>
      <c r="N136" s="522"/>
    </row>
    <row r="137" spans="1:14" s="523" customFormat="1" ht="15">
      <c r="A137" s="522"/>
      <c r="B137" s="471" t="s">
        <v>2077</v>
      </c>
      <c r="C137" s="472">
        <v>61.6</v>
      </c>
      <c r="D137" s="472">
        <v>-117.2</v>
      </c>
      <c r="E137" s="470">
        <v>2000</v>
      </c>
      <c r="F137" s="473">
        <v>6</v>
      </c>
      <c r="G137" s="470">
        <v>17</v>
      </c>
      <c r="H137" s="475">
        <v>95</v>
      </c>
      <c r="I137" s="470">
        <v>38.9</v>
      </c>
      <c r="J137" s="470">
        <v>37</v>
      </c>
      <c r="K137" s="472">
        <v>4</v>
      </c>
      <c r="L137" s="470">
        <v>4</v>
      </c>
      <c r="M137" s="472">
        <v>1</v>
      </c>
      <c r="N137" s="522"/>
    </row>
    <row r="138" spans="1:14" s="523" customFormat="1" ht="15">
      <c r="A138" s="522"/>
      <c r="B138" s="471" t="s">
        <v>2077</v>
      </c>
      <c r="C138" s="472">
        <v>61.6</v>
      </c>
      <c r="D138" s="472">
        <v>-117.2</v>
      </c>
      <c r="E138" s="470">
        <v>1999</v>
      </c>
      <c r="F138" s="473">
        <v>6</v>
      </c>
      <c r="G138" s="470">
        <v>29</v>
      </c>
      <c r="H138" s="475">
        <v>77</v>
      </c>
      <c r="I138" s="470">
        <v>29.9</v>
      </c>
      <c r="J138" s="470">
        <v>23</v>
      </c>
      <c r="K138" s="472">
        <v>4</v>
      </c>
      <c r="L138" s="470">
        <v>4</v>
      </c>
      <c r="M138" s="472">
        <v>1</v>
      </c>
      <c r="N138" s="522"/>
    </row>
    <row r="139" spans="1:14" s="523" customFormat="1" ht="15">
      <c r="A139" s="522"/>
      <c r="B139" s="471" t="s">
        <v>2077</v>
      </c>
      <c r="C139" s="472">
        <v>61.6</v>
      </c>
      <c r="D139" s="472">
        <v>-117.2</v>
      </c>
      <c r="E139" s="470">
        <v>2000</v>
      </c>
      <c r="F139" s="473">
        <v>6</v>
      </c>
      <c r="G139" s="470">
        <v>28</v>
      </c>
      <c r="H139" s="475">
        <v>80</v>
      </c>
      <c r="I139" s="470">
        <v>46.3</v>
      </c>
      <c r="J139" s="470">
        <v>37</v>
      </c>
      <c r="K139" s="472">
        <v>4</v>
      </c>
      <c r="L139" s="470">
        <v>4</v>
      </c>
      <c r="M139" s="472">
        <v>1</v>
      </c>
      <c r="N139" s="522"/>
    </row>
    <row r="140" spans="1:14" s="523" customFormat="1" ht="15">
      <c r="A140" s="522"/>
      <c r="B140" s="471" t="s">
        <v>2077</v>
      </c>
      <c r="C140" s="472">
        <v>61.6</v>
      </c>
      <c r="D140" s="472">
        <v>-117.2</v>
      </c>
      <c r="E140" s="470">
        <v>1999</v>
      </c>
      <c r="F140" s="473">
        <v>6</v>
      </c>
      <c r="G140" s="470">
        <v>20</v>
      </c>
      <c r="H140" s="475">
        <v>68</v>
      </c>
      <c r="I140" s="470">
        <v>51.5</v>
      </c>
      <c r="J140" s="470">
        <v>35</v>
      </c>
      <c r="K140" s="472">
        <v>4</v>
      </c>
      <c r="L140" s="470">
        <v>4</v>
      </c>
      <c r="M140" s="472">
        <v>1</v>
      </c>
      <c r="N140" s="522"/>
    </row>
    <row r="141" spans="1:14" s="523" customFormat="1" ht="15">
      <c r="A141" s="522"/>
      <c r="B141" s="471" t="s">
        <v>2077</v>
      </c>
      <c r="C141" s="472">
        <v>61.6</v>
      </c>
      <c r="D141" s="472">
        <v>-117.2</v>
      </c>
      <c r="E141" s="470">
        <v>1997</v>
      </c>
      <c r="F141" s="473">
        <v>7</v>
      </c>
      <c r="G141" s="470">
        <v>4</v>
      </c>
      <c r="H141" s="475">
        <v>93</v>
      </c>
      <c r="I141" s="470">
        <v>50.5</v>
      </c>
      <c r="J141" s="470">
        <v>47</v>
      </c>
      <c r="K141" s="472">
        <v>4</v>
      </c>
      <c r="L141" s="470">
        <v>4</v>
      </c>
      <c r="M141" s="472">
        <v>1</v>
      </c>
      <c r="N141" s="522"/>
    </row>
    <row r="142" spans="1:14" s="523" customFormat="1" ht="15">
      <c r="A142" s="522"/>
      <c r="B142" s="471" t="s">
        <v>2077</v>
      </c>
      <c r="C142" s="472">
        <v>61.6</v>
      </c>
      <c r="D142" s="472">
        <v>-117.2</v>
      </c>
      <c r="E142" s="470">
        <v>1997</v>
      </c>
      <c r="F142" s="473">
        <v>7</v>
      </c>
      <c r="G142" s="470">
        <v>9</v>
      </c>
      <c r="H142" s="475">
        <v>101</v>
      </c>
      <c r="I142" s="470">
        <v>33.700000000000003</v>
      </c>
      <c r="J142" s="470">
        <v>34</v>
      </c>
      <c r="K142" s="472">
        <v>4</v>
      </c>
      <c r="L142" s="470">
        <v>4</v>
      </c>
      <c r="M142" s="472">
        <v>1</v>
      </c>
      <c r="N142" s="522"/>
    </row>
    <row r="143" spans="1:14" s="523" customFormat="1" ht="15">
      <c r="A143" s="522"/>
      <c r="B143" s="471" t="s">
        <v>2077</v>
      </c>
      <c r="C143" s="472">
        <v>61.6</v>
      </c>
      <c r="D143" s="472">
        <v>-117.2</v>
      </c>
      <c r="E143" s="470">
        <v>1998</v>
      </c>
      <c r="F143" s="473">
        <v>7</v>
      </c>
      <c r="G143" s="470">
        <v>5</v>
      </c>
      <c r="H143" s="475">
        <v>76</v>
      </c>
      <c r="I143" s="470">
        <v>48.7</v>
      </c>
      <c r="J143" s="470">
        <v>37</v>
      </c>
      <c r="K143" s="472">
        <v>4</v>
      </c>
      <c r="L143" s="470">
        <v>4</v>
      </c>
      <c r="M143" s="472">
        <v>1</v>
      </c>
      <c r="N143" s="522"/>
    </row>
    <row r="144" spans="1:14" s="523" customFormat="1" ht="15">
      <c r="A144" s="522"/>
      <c r="B144" s="471" t="s">
        <v>2077</v>
      </c>
      <c r="C144" s="472">
        <v>61.6</v>
      </c>
      <c r="D144" s="472">
        <v>-117.2</v>
      </c>
      <c r="E144" s="470">
        <v>1998</v>
      </c>
      <c r="F144" s="473">
        <v>7</v>
      </c>
      <c r="G144" s="470">
        <v>4</v>
      </c>
      <c r="H144" s="475">
        <v>84</v>
      </c>
      <c r="I144" s="470">
        <v>44</v>
      </c>
      <c r="J144" s="470">
        <v>37</v>
      </c>
      <c r="K144" s="472">
        <v>4</v>
      </c>
      <c r="L144" s="470">
        <v>4</v>
      </c>
      <c r="M144" s="472">
        <v>1</v>
      </c>
      <c r="N144" s="522"/>
    </row>
    <row r="145" spans="1:14" s="523" customFormat="1" ht="15">
      <c r="A145" s="522"/>
      <c r="B145" s="471" t="s">
        <v>2077</v>
      </c>
      <c r="C145" s="472">
        <v>61.6</v>
      </c>
      <c r="D145" s="472">
        <v>-117.2</v>
      </c>
      <c r="E145" s="470">
        <v>1999</v>
      </c>
      <c r="F145" s="473">
        <v>6</v>
      </c>
      <c r="G145" s="470">
        <v>19</v>
      </c>
      <c r="H145" s="475">
        <v>85</v>
      </c>
      <c r="I145" s="470">
        <v>43.5</v>
      </c>
      <c r="J145" s="470">
        <v>37</v>
      </c>
      <c r="K145" s="472">
        <v>4</v>
      </c>
      <c r="L145" s="470">
        <v>4</v>
      </c>
      <c r="M145" s="472">
        <v>1</v>
      </c>
      <c r="N145" s="522"/>
    </row>
    <row r="146" spans="1:14" s="523" customFormat="1" ht="15">
      <c r="A146" s="522"/>
      <c r="B146" s="471" t="s">
        <v>2077</v>
      </c>
      <c r="C146" s="472">
        <v>61.6</v>
      </c>
      <c r="D146" s="472">
        <v>-117.2</v>
      </c>
      <c r="E146" s="475" t="s">
        <v>2078</v>
      </c>
      <c r="F146" s="475" t="s">
        <v>1904</v>
      </c>
      <c r="G146" s="475" t="s">
        <v>2079</v>
      </c>
      <c r="H146" s="475">
        <v>83.4</v>
      </c>
      <c r="I146" s="470">
        <v>43.8</v>
      </c>
      <c r="J146" s="470">
        <v>36.200000000000003</v>
      </c>
      <c r="K146" s="472">
        <v>4</v>
      </c>
      <c r="L146" s="470">
        <v>4</v>
      </c>
      <c r="M146" s="472">
        <v>2</v>
      </c>
      <c r="N146" s="522"/>
    </row>
    <row r="147" spans="1:14" s="523" customFormat="1" ht="15">
      <c r="A147" s="522"/>
      <c r="B147" s="471" t="s">
        <v>2080</v>
      </c>
      <c r="C147" s="472">
        <v>64.400000000000006</v>
      </c>
      <c r="D147" s="472">
        <v>-145.74</v>
      </c>
      <c r="E147" s="470">
        <v>1999</v>
      </c>
      <c r="F147" s="470">
        <v>7</v>
      </c>
      <c r="G147" s="470" t="s">
        <v>1046</v>
      </c>
      <c r="H147" s="474">
        <v>56</v>
      </c>
      <c r="I147" s="474">
        <v>62</v>
      </c>
      <c r="J147" s="474">
        <v>35</v>
      </c>
      <c r="K147" s="472">
        <v>4</v>
      </c>
      <c r="L147" s="470">
        <v>1</v>
      </c>
      <c r="M147" s="472">
        <v>1</v>
      </c>
      <c r="N147" s="522"/>
    </row>
    <row r="148" spans="1:14" s="523" customFormat="1" ht="15">
      <c r="A148" s="522"/>
      <c r="B148" s="471" t="s">
        <v>2080</v>
      </c>
      <c r="C148" s="472">
        <v>64.400000000000006</v>
      </c>
      <c r="D148" s="472">
        <v>-145.74</v>
      </c>
      <c r="E148" s="470">
        <v>1999</v>
      </c>
      <c r="F148" s="470">
        <v>7</v>
      </c>
      <c r="G148" s="470" t="s">
        <v>1046</v>
      </c>
      <c r="H148" s="474">
        <v>86</v>
      </c>
      <c r="I148" s="474">
        <v>41</v>
      </c>
      <c r="J148" s="474">
        <v>35</v>
      </c>
      <c r="K148" s="472">
        <v>4</v>
      </c>
      <c r="L148" s="470">
        <v>1</v>
      </c>
      <c r="M148" s="472">
        <v>1</v>
      </c>
      <c r="N148" s="522"/>
    </row>
    <row r="149" spans="1:14" s="523" customFormat="1" ht="15">
      <c r="A149" s="522"/>
      <c r="B149" s="471" t="s">
        <v>2080</v>
      </c>
      <c r="C149" s="472">
        <v>64.400000000000006</v>
      </c>
      <c r="D149" s="472">
        <v>-145.74</v>
      </c>
      <c r="E149" s="470">
        <v>1999</v>
      </c>
      <c r="F149" s="470">
        <v>7</v>
      </c>
      <c r="G149" s="470" t="s">
        <v>1046</v>
      </c>
      <c r="H149" s="474">
        <v>71</v>
      </c>
      <c r="I149" s="474">
        <v>51.5</v>
      </c>
      <c r="J149" s="474">
        <v>35</v>
      </c>
      <c r="K149" s="472">
        <v>4</v>
      </c>
      <c r="L149" s="470">
        <v>1</v>
      </c>
      <c r="M149" s="472">
        <v>2</v>
      </c>
      <c r="N149" s="522"/>
    </row>
    <row r="150" spans="1:14" s="523" customFormat="1" ht="15">
      <c r="A150" s="522"/>
      <c r="B150" s="471" t="s">
        <v>2081</v>
      </c>
      <c r="C150" s="472">
        <v>53.92</v>
      </c>
      <c r="D150" s="472">
        <v>-105.7</v>
      </c>
      <c r="E150" s="470">
        <v>2003</v>
      </c>
      <c r="F150" s="470" t="s">
        <v>1046</v>
      </c>
      <c r="G150" s="470" t="s">
        <v>1046</v>
      </c>
      <c r="H150" s="470">
        <v>50</v>
      </c>
      <c r="I150" s="470">
        <v>63</v>
      </c>
      <c r="J150" s="470">
        <v>31</v>
      </c>
      <c r="K150" s="472">
        <v>4</v>
      </c>
      <c r="L150" s="470">
        <v>2</v>
      </c>
      <c r="M150" s="472">
        <v>1</v>
      </c>
      <c r="N150" s="522"/>
    </row>
    <row r="151" spans="1:14" s="523" customFormat="1" ht="15">
      <c r="A151" s="522"/>
      <c r="B151" s="471" t="s">
        <v>2081</v>
      </c>
      <c r="C151" s="472">
        <v>53.92</v>
      </c>
      <c r="D151" s="472">
        <v>-105.7</v>
      </c>
      <c r="E151" s="470">
        <v>2003</v>
      </c>
      <c r="F151" s="470" t="s">
        <v>1046</v>
      </c>
      <c r="G151" s="470" t="s">
        <v>1046</v>
      </c>
      <c r="H151" s="470">
        <v>41</v>
      </c>
      <c r="I151" s="470">
        <v>54</v>
      </c>
      <c r="J151" s="470">
        <v>22</v>
      </c>
      <c r="K151" s="472">
        <v>4</v>
      </c>
      <c r="L151" s="470">
        <v>2</v>
      </c>
      <c r="M151" s="472">
        <v>1</v>
      </c>
      <c r="N151" s="522"/>
    </row>
    <row r="152" spans="1:14" s="523" customFormat="1" ht="15">
      <c r="A152" s="522"/>
      <c r="B152" s="471" t="s">
        <v>2081</v>
      </c>
      <c r="C152" s="472">
        <v>53.92</v>
      </c>
      <c r="D152" s="472">
        <v>-105.7</v>
      </c>
      <c r="E152" s="470">
        <v>2003</v>
      </c>
      <c r="F152" s="470" t="s">
        <v>1046</v>
      </c>
      <c r="G152" s="470" t="s">
        <v>1046</v>
      </c>
      <c r="H152" s="470">
        <v>42</v>
      </c>
      <c r="I152" s="470">
        <v>54</v>
      </c>
      <c r="J152" s="470">
        <v>23</v>
      </c>
      <c r="K152" s="472">
        <v>4</v>
      </c>
      <c r="L152" s="470">
        <v>2</v>
      </c>
      <c r="M152" s="472">
        <v>1</v>
      </c>
      <c r="N152" s="522"/>
    </row>
    <row r="153" spans="1:14" s="523" customFormat="1" ht="15">
      <c r="A153" s="522"/>
      <c r="B153" s="471" t="s">
        <v>2081</v>
      </c>
      <c r="C153" s="472">
        <v>53.92</v>
      </c>
      <c r="D153" s="472">
        <v>-105.7</v>
      </c>
      <c r="E153" s="470">
        <v>2003</v>
      </c>
      <c r="F153" s="470" t="s">
        <v>1046</v>
      </c>
      <c r="G153" s="470" t="s">
        <v>1046</v>
      </c>
      <c r="H153" s="470">
        <v>42</v>
      </c>
      <c r="I153" s="470">
        <v>65</v>
      </c>
      <c r="J153" s="470">
        <v>28</v>
      </c>
      <c r="K153" s="472">
        <v>4</v>
      </c>
      <c r="L153" s="470">
        <v>2</v>
      </c>
      <c r="M153" s="470">
        <v>1</v>
      </c>
      <c r="N153" s="522"/>
    </row>
    <row r="154" spans="1:14" s="523" customFormat="1" ht="15">
      <c r="A154" s="522"/>
      <c r="B154" s="471" t="s">
        <v>2081</v>
      </c>
      <c r="C154" s="472">
        <v>53.92</v>
      </c>
      <c r="D154" s="472">
        <v>-105.7</v>
      </c>
      <c r="E154" s="470">
        <v>2003</v>
      </c>
      <c r="F154" s="470" t="s">
        <v>1046</v>
      </c>
      <c r="G154" s="470" t="s">
        <v>1046</v>
      </c>
      <c r="H154" s="470">
        <v>40</v>
      </c>
      <c r="I154" s="470">
        <v>72</v>
      </c>
      <c r="J154" s="470">
        <v>29</v>
      </c>
      <c r="K154" s="472">
        <v>4</v>
      </c>
      <c r="L154" s="470">
        <v>2</v>
      </c>
      <c r="M154" s="470">
        <v>1</v>
      </c>
      <c r="N154" s="522"/>
    </row>
    <row r="155" spans="1:14" s="523" customFormat="1" ht="15">
      <c r="A155" s="522"/>
      <c r="B155" s="471" t="s">
        <v>2081</v>
      </c>
      <c r="C155" s="472">
        <v>53.92</v>
      </c>
      <c r="D155" s="472">
        <v>-105.7</v>
      </c>
      <c r="E155" s="470">
        <v>2003</v>
      </c>
      <c r="F155" s="470" t="s">
        <v>1046</v>
      </c>
      <c r="G155" s="470" t="s">
        <v>1046</v>
      </c>
      <c r="H155" s="470">
        <v>43</v>
      </c>
      <c r="I155" s="470">
        <v>61.6</v>
      </c>
      <c r="J155" s="470">
        <v>26.6</v>
      </c>
      <c r="K155" s="472">
        <v>4</v>
      </c>
      <c r="L155" s="470">
        <v>2</v>
      </c>
      <c r="M155" s="470">
        <v>2</v>
      </c>
      <c r="N155" s="522"/>
    </row>
    <row r="156" spans="1:14" s="523" customFormat="1" ht="15">
      <c r="A156" s="522"/>
      <c r="B156" s="471" t="s">
        <v>2082</v>
      </c>
      <c r="C156" s="472">
        <v>65.03</v>
      </c>
      <c r="D156" s="472">
        <v>-147.85</v>
      </c>
      <c r="E156" s="470">
        <v>2004</v>
      </c>
      <c r="F156" s="470">
        <v>6</v>
      </c>
      <c r="G156" s="470" t="s">
        <v>2083</v>
      </c>
      <c r="H156" s="475">
        <v>89</v>
      </c>
      <c r="I156" s="470">
        <v>77</v>
      </c>
      <c r="J156" s="470">
        <v>64</v>
      </c>
      <c r="K156" s="472">
        <v>4</v>
      </c>
      <c r="L156" s="470">
        <v>1</v>
      </c>
      <c r="M156" s="470">
        <v>1</v>
      </c>
      <c r="N156" s="522"/>
    </row>
    <row r="157" spans="1:14" s="523" customFormat="1" ht="15">
      <c r="A157" s="522"/>
      <c r="B157" s="471" t="s">
        <v>2082</v>
      </c>
      <c r="C157" s="472">
        <v>65.03</v>
      </c>
      <c r="D157" s="472">
        <v>-147.85</v>
      </c>
      <c r="E157" s="470">
        <v>2004</v>
      </c>
      <c r="F157" s="470">
        <v>6</v>
      </c>
      <c r="G157" s="470" t="s">
        <v>2083</v>
      </c>
      <c r="H157" s="475">
        <v>115</v>
      </c>
      <c r="I157" s="470">
        <v>62</v>
      </c>
      <c r="J157" s="470">
        <v>71</v>
      </c>
      <c r="K157" s="472">
        <v>4</v>
      </c>
      <c r="L157" s="470">
        <v>1</v>
      </c>
      <c r="M157" s="470">
        <v>1</v>
      </c>
      <c r="N157" s="522"/>
    </row>
    <row r="158" spans="1:14" s="523" customFormat="1" ht="15">
      <c r="A158" s="522"/>
      <c r="B158" s="471" t="s">
        <v>2082</v>
      </c>
      <c r="C158" s="472">
        <v>65.03</v>
      </c>
      <c r="D158" s="472">
        <v>-147.85</v>
      </c>
      <c r="E158" s="470">
        <v>2004</v>
      </c>
      <c r="F158" s="470">
        <v>6</v>
      </c>
      <c r="G158" s="470" t="s">
        <v>2083</v>
      </c>
      <c r="H158" s="475">
        <v>82</v>
      </c>
      <c r="I158" s="470">
        <v>43</v>
      </c>
      <c r="J158" s="470">
        <v>35</v>
      </c>
      <c r="K158" s="472">
        <v>4</v>
      </c>
      <c r="L158" s="470">
        <v>1</v>
      </c>
      <c r="M158" s="470">
        <v>1</v>
      </c>
      <c r="N158" s="522"/>
    </row>
    <row r="159" spans="1:14" s="523" customFormat="1" ht="15">
      <c r="A159" s="522"/>
      <c r="B159" s="471" t="s">
        <v>2082</v>
      </c>
      <c r="C159" s="472">
        <v>65.03</v>
      </c>
      <c r="D159" s="472">
        <v>-147.85</v>
      </c>
      <c r="E159" s="470">
        <v>2004</v>
      </c>
      <c r="F159" s="470">
        <v>6</v>
      </c>
      <c r="G159" s="470" t="s">
        <v>2083</v>
      </c>
      <c r="H159" s="475">
        <v>95.3</v>
      </c>
      <c r="I159" s="470">
        <v>60.7</v>
      </c>
      <c r="J159" s="470">
        <v>56.7</v>
      </c>
      <c r="K159" s="472">
        <v>4</v>
      </c>
      <c r="L159" s="470">
        <v>1</v>
      </c>
      <c r="M159" s="470">
        <v>2</v>
      </c>
      <c r="N159" s="522"/>
    </row>
    <row r="160" spans="1:14" s="523" customFormat="1" ht="15">
      <c r="A160" s="522"/>
      <c r="B160" s="476" t="s">
        <v>2084</v>
      </c>
      <c r="C160" s="472">
        <v>46.87</v>
      </c>
      <c r="D160" s="472">
        <v>-83.33</v>
      </c>
      <c r="E160" s="470" t="s">
        <v>984</v>
      </c>
      <c r="F160" s="470" t="s">
        <v>1046</v>
      </c>
      <c r="G160" s="470" t="s">
        <v>1046</v>
      </c>
      <c r="H160" s="475">
        <v>13</v>
      </c>
      <c r="I160" s="470">
        <v>69</v>
      </c>
      <c r="J160" s="470">
        <v>9</v>
      </c>
      <c r="K160" s="472">
        <v>4</v>
      </c>
      <c r="L160" s="470">
        <v>1</v>
      </c>
      <c r="M160" s="470">
        <v>3</v>
      </c>
      <c r="N160" s="522"/>
    </row>
    <row r="161" spans="1:14" s="523" customFormat="1" ht="15">
      <c r="A161" s="522"/>
      <c r="B161" s="476" t="s">
        <v>2085</v>
      </c>
      <c r="C161" s="472">
        <v>48.87</v>
      </c>
      <c r="D161" s="472">
        <v>-85.28</v>
      </c>
      <c r="E161" s="470" t="s">
        <v>984</v>
      </c>
      <c r="F161" s="470" t="s">
        <v>1046</v>
      </c>
      <c r="G161" s="470" t="s">
        <v>1046</v>
      </c>
      <c r="H161" s="475">
        <v>17</v>
      </c>
      <c r="I161" s="470">
        <v>35</v>
      </c>
      <c r="J161" s="470">
        <v>6</v>
      </c>
      <c r="K161" s="472">
        <v>4</v>
      </c>
      <c r="L161" s="470">
        <v>1</v>
      </c>
      <c r="M161" s="470">
        <v>3</v>
      </c>
      <c r="N161" s="522"/>
    </row>
    <row r="162" spans="1:14" s="523" customFormat="1" ht="15">
      <c r="A162" s="522"/>
      <c r="B162" s="476" t="s">
        <v>2085</v>
      </c>
      <c r="C162" s="472">
        <v>61.37</v>
      </c>
      <c r="D162" s="472">
        <v>-117.63</v>
      </c>
      <c r="E162" s="470" t="s">
        <v>984</v>
      </c>
      <c r="F162" s="470" t="s">
        <v>1046</v>
      </c>
      <c r="G162" s="470" t="s">
        <v>1046</v>
      </c>
      <c r="H162" s="475">
        <v>47</v>
      </c>
      <c r="I162" s="470">
        <v>36</v>
      </c>
      <c r="J162" s="470">
        <v>17</v>
      </c>
      <c r="K162" s="472">
        <v>4</v>
      </c>
      <c r="L162" s="470">
        <v>1</v>
      </c>
      <c r="M162" s="470">
        <v>3</v>
      </c>
      <c r="N162" s="522"/>
    </row>
    <row r="163" spans="1:14" s="523" customFormat="1" ht="15">
      <c r="A163" s="522"/>
      <c r="B163" s="476" t="s">
        <v>2085</v>
      </c>
      <c r="C163" s="472">
        <v>61.69</v>
      </c>
      <c r="D163" s="472">
        <v>-107.94</v>
      </c>
      <c r="E163" s="470" t="s">
        <v>984</v>
      </c>
      <c r="F163" s="470" t="s">
        <v>1046</v>
      </c>
      <c r="G163" s="470" t="s">
        <v>1046</v>
      </c>
      <c r="H163" s="475">
        <v>15</v>
      </c>
      <c r="I163" s="470">
        <v>60</v>
      </c>
      <c r="J163" s="470">
        <v>9</v>
      </c>
      <c r="K163" s="472">
        <v>4</v>
      </c>
      <c r="L163" s="470">
        <v>1</v>
      </c>
      <c r="M163" s="470">
        <v>3</v>
      </c>
      <c r="N163" s="522"/>
    </row>
    <row r="164" spans="1:14" s="523" customFormat="1" ht="15">
      <c r="A164" s="522"/>
      <c r="B164" s="476" t="s">
        <v>2085</v>
      </c>
      <c r="C164" s="472">
        <v>55.07</v>
      </c>
      <c r="D164" s="472">
        <v>-114.03</v>
      </c>
      <c r="E164" s="470" t="s">
        <v>984</v>
      </c>
      <c r="F164" s="470" t="s">
        <v>1046</v>
      </c>
      <c r="G164" s="470" t="s">
        <v>1046</v>
      </c>
      <c r="H164" s="475">
        <v>3</v>
      </c>
      <c r="I164" s="470">
        <v>33</v>
      </c>
      <c r="J164" s="470">
        <v>1</v>
      </c>
      <c r="K164" s="472">
        <v>4</v>
      </c>
      <c r="L164" s="470">
        <v>1</v>
      </c>
      <c r="M164" s="470">
        <v>3</v>
      </c>
      <c r="N164" s="522"/>
    </row>
    <row r="165" spans="1:14" s="523" customFormat="1" ht="15">
      <c r="A165" s="522"/>
      <c r="B165" s="476" t="s">
        <v>2085</v>
      </c>
      <c r="C165" s="472">
        <v>59.31</v>
      </c>
      <c r="D165" s="472">
        <v>-111.02</v>
      </c>
      <c r="E165" s="470" t="s">
        <v>984</v>
      </c>
      <c r="F165" s="470" t="s">
        <v>1046</v>
      </c>
      <c r="G165" s="470" t="s">
        <v>1046</v>
      </c>
      <c r="H165" s="475">
        <v>18</v>
      </c>
      <c r="I165" s="470">
        <v>72</v>
      </c>
      <c r="J165" s="470">
        <v>13</v>
      </c>
      <c r="K165" s="472">
        <v>4</v>
      </c>
      <c r="L165" s="470">
        <v>1</v>
      </c>
      <c r="M165" s="470">
        <v>3</v>
      </c>
      <c r="N165" s="522"/>
    </row>
    <row r="166" spans="1:14" s="523" customFormat="1" ht="15">
      <c r="A166" s="522"/>
      <c r="B166" s="476" t="s">
        <v>2085</v>
      </c>
      <c r="C166" s="472">
        <v>55.74</v>
      </c>
      <c r="D166" s="472">
        <v>-97.91</v>
      </c>
      <c r="E166" s="470" t="s">
        <v>1032</v>
      </c>
      <c r="F166" s="470" t="s">
        <v>1046</v>
      </c>
      <c r="G166" s="470" t="s">
        <v>1046</v>
      </c>
      <c r="H166" s="475">
        <v>72</v>
      </c>
      <c r="I166" s="470">
        <v>26</v>
      </c>
      <c r="J166" s="470">
        <v>19</v>
      </c>
      <c r="K166" s="472">
        <v>4</v>
      </c>
      <c r="L166" s="470">
        <v>1</v>
      </c>
      <c r="M166" s="470">
        <v>3</v>
      </c>
      <c r="N166" s="522"/>
    </row>
    <row r="167" spans="1:14" s="523" customFormat="1" ht="15">
      <c r="A167" s="522"/>
      <c r="B167" s="476" t="s">
        <v>1923</v>
      </c>
      <c r="C167" s="472">
        <v>54.29</v>
      </c>
      <c r="D167" s="472">
        <v>-107.78</v>
      </c>
      <c r="E167" s="470" t="s">
        <v>1032</v>
      </c>
      <c r="F167" s="470" t="s">
        <v>1046</v>
      </c>
      <c r="G167" s="470" t="s">
        <v>1046</v>
      </c>
      <c r="H167" s="475">
        <v>36</v>
      </c>
      <c r="I167" s="470">
        <v>86</v>
      </c>
      <c r="J167" s="470">
        <v>31</v>
      </c>
      <c r="K167" s="472">
        <v>4</v>
      </c>
      <c r="L167" s="470">
        <v>1</v>
      </c>
      <c r="M167" s="470">
        <v>3</v>
      </c>
      <c r="N167" s="522"/>
    </row>
    <row r="168" spans="1:14" s="523" customFormat="1" ht="15">
      <c r="A168" s="522"/>
      <c r="B168" s="476" t="s">
        <v>1923</v>
      </c>
      <c r="C168" s="472">
        <v>53.57</v>
      </c>
      <c r="D168" s="472">
        <v>-88.62</v>
      </c>
      <c r="E168" s="470" t="s">
        <v>1032</v>
      </c>
      <c r="F168" s="470" t="s">
        <v>1046</v>
      </c>
      <c r="G168" s="470" t="s">
        <v>1046</v>
      </c>
      <c r="H168" s="475">
        <v>69</v>
      </c>
      <c r="I168" s="470">
        <v>55</v>
      </c>
      <c r="J168" s="470">
        <v>38</v>
      </c>
      <c r="K168" s="472">
        <v>4</v>
      </c>
      <c r="L168" s="470">
        <v>1</v>
      </c>
      <c r="M168" s="470">
        <v>3</v>
      </c>
      <c r="N168" s="522"/>
    </row>
    <row r="169" spans="1:14" s="523" customFormat="1" ht="15">
      <c r="A169" s="522"/>
      <c r="B169" s="476" t="s">
        <v>1923</v>
      </c>
      <c r="C169" s="472">
        <v>55.74</v>
      </c>
      <c r="D169" s="472">
        <v>-97.85</v>
      </c>
      <c r="E169" s="470" t="s">
        <v>1032</v>
      </c>
      <c r="F169" s="470" t="s">
        <v>1046</v>
      </c>
      <c r="G169" s="470" t="s">
        <v>1046</v>
      </c>
      <c r="H169" s="475">
        <v>23</v>
      </c>
      <c r="I169" s="470">
        <v>87</v>
      </c>
      <c r="J169" s="470">
        <v>20</v>
      </c>
      <c r="K169" s="472">
        <v>4</v>
      </c>
      <c r="L169" s="470">
        <v>1</v>
      </c>
      <c r="M169" s="470">
        <v>3</v>
      </c>
      <c r="N169" s="522"/>
    </row>
    <row r="170" spans="1:14" s="523" customFormat="1" ht="15">
      <c r="A170" s="522"/>
      <c r="B170" s="476" t="s">
        <v>1923</v>
      </c>
      <c r="C170" s="472">
        <v>54.05</v>
      </c>
      <c r="D170" s="472">
        <v>-105.81</v>
      </c>
      <c r="E170" s="470" t="s">
        <v>1032</v>
      </c>
      <c r="F170" s="470" t="s">
        <v>1046</v>
      </c>
      <c r="G170" s="470" t="s">
        <v>1046</v>
      </c>
      <c r="H170" s="475">
        <v>61</v>
      </c>
      <c r="I170" s="470">
        <v>57</v>
      </c>
      <c r="J170" s="470">
        <v>35</v>
      </c>
      <c r="K170" s="472">
        <v>4</v>
      </c>
      <c r="L170" s="470">
        <v>1</v>
      </c>
      <c r="M170" s="470">
        <v>3</v>
      </c>
      <c r="N170" s="522"/>
    </row>
    <row r="171" spans="1:14" s="523" customFormat="1" ht="15">
      <c r="A171" s="522"/>
      <c r="B171" s="471" t="s">
        <v>1923</v>
      </c>
      <c r="C171" s="472">
        <v>64.06</v>
      </c>
      <c r="D171" s="472">
        <v>-139.43</v>
      </c>
      <c r="E171" s="470" t="s">
        <v>1032</v>
      </c>
      <c r="F171" s="470" t="s">
        <v>1046</v>
      </c>
      <c r="G171" s="470" t="s">
        <v>1046</v>
      </c>
      <c r="H171" s="475">
        <v>84</v>
      </c>
      <c r="I171" s="470">
        <v>46</v>
      </c>
      <c r="J171" s="470">
        <v>39</v>
      </c>
      <c r="K171" s="472">
        <v>4</v>
      </c>
      <c r="L171" s="470">
        <v>1</v>
      </c>
      <c r="M171" s="470">
        <v>3</v>
      </c>
      <c r="N171" s="522"/>
    </row>
    <row r="172" spans="1:14" s="523" customFormat="1" ht="15">
      <c r="A172" s="522"/>
      <c r="B172" s="471" t="s">
        <v>1923</v>
      </c>
      <c r="C172" s="472">
        <v>59.4</v>
      </c>
      <c r="D172" s="472">
        <v>-113.03</v>
      </c>
      <c r="E172" s="470" t="s">
        <v>1032</v>
      </c>
      <c r="F172" s="470" t="s">
        <v>1046</v>
      </c>
      <c r="G172" s="470" t="s">
        <v>1046</v>
      </c>
      <c r="H172" s="475">
        <v>37</v>
      </c>
      <c r="I172" s="470">
        <v>59</v>
      </c>
      <c r="J172" s="470">
        <v>22</v>
      </c>
      <c r="K172" s="472">
        <v>4</v>
      </c>
      <c r="L172" s="470">
        <v>1</v>
      </c>
      <c r="M172" s="470">
        <v>3</v>
      </c>
      <c r="N172" s="522"/>
    </row>
    <row r="173" spans="1:14" s="523" customFormat="1" ht="15">
      <c r="A173" s="522"/>
      <c r="B173" s="471" t="s">
        <v>1945</v>
      </c>
      <c r="C173" s="472">
        <v>60.49</v>
      </c>
      <c r="D173" s="472">
        <v>-150.97999999999999</v>
      </c>
      <c r="E173" s="470">
        <v>1991</v>
      </c>
      <c r="F173" s="470">
        <v>6</v>
      </c>
      <c r="G173" s="470">
        <v>20</v>
      </c>
      <c r="H173" s="470">
        <v>112.7</v>
      </c>
      <c r="I173" s="470">
        <v>34.1</v>
      </c>
      <c r="J173" s="470">
        <v>38.4</v>
      </c>
      <c r="K173" s="472">
        <v>4</v>
      </c>
      <c r="L173" s="470">
        <v>4</v>
      </c>
      <c r="M173" s="470">
        <v>1</v>
      </c>
      <c r="N173" s="522"/>
    </row>
    <row r="174" spans="1:14" s="523" customFormat="1" ht="15">
      <c r="A174" s="522"/>
      <c r="B174" s="471" t="s">
        <v>1945</v>
      </c>
      <c r="C174" s="472">
        <v>60.49</v>
      </c>
      <c r="D174" s="472">
        <v>-150.97999999999999</v>
      </c>
      <c r="E174" s="470">
        <v>1991</v>
      </c>
      <c r="F174" s="470">
        <v>6</v>
      </c>
      <c r="G174" s="470">
        <v>20</v>
      </c>
      <c r="H174" s="470">
        <v>90.4</v>
      </c>
      <c r="I174" s="470">
        <v>33.799999999999997</v>
      </c>
      <c r="J174" s="470">
        <v>30.6</v>
      </c>
      <c r="K174" s="472">
        <v>4</v>
      </c>
      <c r="L174" s="470">
        <v>4</v>
      </c>
      <c r="M174" s="470">
        <v>1</v>
      </c>
      <c r="N174" s="522"/>
    </row>
    <row r="175" spans="1:14" s="523" customFormat="1" ht="15">
      <c r="A175" s="522"/>
      <c r="B175" s="471" t="s">
        <v>1945</v>
      </c>
      <c r="C175" s="472">
        <v>60.49</v>
      </c>
      <c r="D175" s="472">
        <v>-150.97999999999999</v>
      </c>
      <c r="E175" s="470">
        <v>1991</v>
      </c>
      <c r="F175" s="470">
        <v>6</v>
      </c>
      <c r="G175" s="470">
        <v>20</v>
      </c>
      <c r="H175" s="470">
        <v>69</v>
      </c>
      <c r="I175" s="470">
        <v>43</v>
      </c>
      <c r="J175" s="470">
        <v>29.7</v>
      </c>
      <c r="K175" s="472">
        <v>4</v>
      </c>
      <c r="L175" s="470">
        <v>4</v>
      </c>
      <c r="M175" s="470">
        <v>1</v>
      </c>
      <c r="N175" s="522"/>
    </row>
    <row r="176" spans="1:14" s="523" customFormat="1" ht="15">
      <c r="A176" s="522"/>
      <c r="B176" s="471" t="s">
        <v>1945</v>
      </c>
      <c r="C176" s="472">
        <v>60.49</v>
      </c>
      <c r="D176" s="472">
        <v>-150.97999999999999</v>
      </c>
      <c r="E176" s="470">
        <v>1991</v>
      </c>
      <c r="F176" s="470">
        <v>6</v>
      </c>
      <c r="G176" s="470">
        <v>20</v>
      </c>
      <c r="H176" s="473">
        <v>90.7</v>
      </c>
      <c r="I176" s="470">
        <v>37</v>
      </c>
      <c r="J176" s="470">
        <v>32.9</v>
      </c>
      <c r="K176" s="472">
        <v>4</v>
      </c>
      <c r="L176" s="470">
        <v>4</v>
      </c>
      <c r="M176" s="470">
        <v>2</v>
      </c>
      <c r="N176" s="522"/>
    </row>
    <row r="177" spans="1:14" s="523" customFormat="1" ht="15">
      <c r="A177" s="522"/>
      <c r="B177" s="471" t="s">
        <v>1945</v>
      </c>
      <c r="C177" s="472">
        <v>61.61</v>
      </c>
      <c r="D177" s="472">
        <v>-149.04</v>
      </c>
      <c r="E177" s="470">
        <v>1993</v>
      </c>
      <c r="F177" s="470">
        <v>7</v>
      </c>
      <c r="G177" s="470">
        <v>13</v>
      </c>
      <c r="H177" s="473">
        <v>87.4</v>
      </c>
      <c r="I177" s="470">
        <v>63.4</v>
      </c>
      <c r="J177" s="470">
        <v>55.4</v>
      </c>
      <c r="K177" s="472">
        <v>4</v>
      </c>
      <c r="L177" s="470">
        <v>4</v>
      </c>
      <c r="M177" s="470">
        <v>1</v>
      </c>
      <c r="N177" s="522"/>
    </row>
    <row r="178" spans="1:14" s="523" customFormat="1" ht="15">
      <c r="A178" s="522"/>
      <c r="B178" s="471" t="s">
        <v>1945</v>
      </c>
      <c r="C178" s="472">
        <v>61.61</v>
      </c>
      <c r="D178" s="472">
        <v>-149.04</v>
      </c>
      <c r="E178" s="470">
        <v>1993</v>
      </c>
      <c r="F178" s="470">
        <v>7</v>
      </c>
      <c r="G178" s="470">
        <v>13</v>
      </c>
      <c r="H178" s="473">
        <v>81.2</v>
      </c>
      <c r="I178" s="470">
        <v>58.4</v>
      </c>
      <c r="J178" s="470">
        <v>47.4</v>
      </c>
      <c r="K178" s="472">
        <v>4</v>
      </c>
      <c r="L178" s="470">
        <v>4</v>
      </c>
      <c r="M178" s="470">
        <v>1</v>
      </c>
      <c r="N178" s="522"/>
    </row>
    <row r="179" spans="1:14" s="523" customFormat="1" ht="15">
      <c r="A179" s="522"/>
      <c r="B179" s="471" t="s">
        <v>1945</v>
      </c>
      <c r="C179" s="472">
        <v>61.61</v>
      </c>
      <c r="D179" s="472">
        <v>-149.04</v>
      </c>
      <c r="E179" s="470">
        <v>1993</v>
      </c>
      <c r="F179" s="470">
        <v>7</v>
      </c>
      <c r="G179" s="470">
        <v>13</v>
      </c>
      <c r="H179" s="473">
        <v>84.3</v>
      </c>
      <c r="I179" s="470">
        <v>60.9</v>
      </c>
      <c r="J179" s="470">
        <v>51.4</v>
      </c>
      <c r="K179" s="472">
        <v>4</v>
      </c>
      <c r="L179" s="470">
        <v>4</v>
      </c>
      <c r="M179" s="470">
        <v>2</v>
      </c>
      <c r="N179" s="522"/>
    </row>
    <row r="180" spans="1:14" s="523" customFormat="1" ht="15">
      <c r="A180" s="522"/>
      <c r="B180" s="471" t="s">
        <v>1945</v>
      </c>
      <c r="C180" s="472">
        <v>62.69</v>
      </c>
      <c r="D180" s="472">
        <v>-141.77000000000001</v>
      </c>
      <c r="E180" s="470">
        <v>1992</v>
      </c>
      <c r="F180" s="470">
        <v>6</v>
      </c>
      <c r="G180" s="470">
        <v>23</v>
      </c>
      <c r="H180" s="473">
        <v>78.5</v>
      </c>
      <c r="I180" s="470">
        <v>22.4</v>
      </c>
      <c r="J180" s="470">
        <v>17.600000000000001</v>
      </c>
      <c r="K180" s="472">
        <v>4</v>
      </c>
      <c r="L180" s="470">
        <v>4</v>
      </c>
      <c r="M180" s="470">
        <v>1</v>
      </c>
      <c r="N180" s="522"/>
    </row>
    <row r="181" spans="1:14" s="523" customFormat="1" ht="15">
      <c r="A181" s="522"/>
      <c r="B181" s="471" t="s">
        <v>1945</v>
      </c>
      <c r="C181" s="472">
        <v>62.69</v>
      </c>
      <c r="D181" s="472">
        <v>-141.77000000000001</v>
      </c>
      <c r="E181" s="470">
        <v>1992</v>
      </c>
      <c r="F181" s="470">
        <v>6</v>
      </c>
      <c r="G181" s="470">
        <v>24</v>
      </c>
      <c r="H181" s="473">
        <v>107.9</v>
      </c>
      <c r="I181" s="470">
        <v>37.1</v>
      </c>
      <c r="J181" s="470">
        <v>40</v>
      </c>
      <c r="K181" s="472">
        <v>4</v>
      </c>
      <c r="L181" s="470">
        <v>4</v>
      </c>
      <c r="M181" s="470">
        <v>1</v>
      </c>
      <c r="N181" s="522"/>
    </row>
    <row r="182" spans="1:14" s="523" customFormat="1" ht="15">
      <c r="A182" s="522"/>
      <c r="B182" s="471" t="s">
        <v>1945</v>
      </c>
      <c r="C182" s="472">
        <v>62.69</v>
      </c>
      <c r="D182" s="472">
        <v>-141.77000000000001</v>
      </c>
      <c r="E182" s="470">
        <v>1992</v>
      </c>
      <c r="F182" s="470">
        <v>6</v>
      </c>
      <c r="G182" s="470">
        <v>24</v>
      </c>
      <c r="H182" s="473">
        <v>122.9</v>
      </c>
      <c r="I182" s="470">
        <v>53.2</v>
      </c>
      <c r="J182" s="470">
        <v>65.400000000000006</v>
      </c>
      <c r="K182" s="472">
        <v>4</v>
      </c>
      <c r="L182" s="470">
        <v>4</v>
      </c>
      <c r="M182" s="470">
        <v>1</v>
      </c>
      <c r="N182" s="522"/>
    </row>
    <row r="183" spans="1:14" s="523" customFormat="1" ht="15">
      <c r="A183" s="522"/>
      <c r="B183" s="471" t="s">
        <v>1945</v>
      </c>
      <c r="C183" s="472">
        <v>62.69</v>
      </c>
      <c r="D183" s="472">
        <v>-141.77000000000001</v>
      </c>
      <c r="E183" s="470">
        <v>1992</v>
      </c>
      <c r="F183" s="470">
        <v>6</v>
      </c>
      <c r="G183" s="470">
        <v>23</v>
      </c>
      <c r="H183" s="473">
        <v>107.6</v>
      </c>
      <c r="I183" s="470">
        <v>52.8</v>
      </c>
      <c r="J183" s="470">
        <v>56.8</v>
      </c>
      <c r="K183" s="472">
        <v>4</v>
      </c>
      <c r="L183" s="470">
        <v>4</v>
      </c>
      <c r="M183" s="470">
        <v>1</v>
      </c>
      <c r="N183" s="522"/>
    </row>
    <row r="184" spans="1:14" s="523" customFormat="1" ht="15">
      <c r="A184" s="522"/>
      <c r="B184" s="471" t="s">
        <v>1945</v>
      </c>
      <c r="C184" s="472">
        <v>62.69</v>
      </c>
      <c r="D184" s="472">
        <v>-141.77000000000001</v>
      </c>
      <c r="E184" s="470">
        <v>1992</v>
      </c>
      <c r="F184" s="470">
        <v>6</v>
      </c>
      <c r="G184" s="470">
        <v>23</v>
      </c>
      <c r="H184" s="473">
        <v>107.4</v>
      </c>
      <c r="I184" s="470">
        <v>59.7</v>
      </c>
      <c r="J184" s="470">
        <v>64.099999999999994</v>
      </c>
      <c r="K184" s="472">
        <v>4</v>
      </c>
      <c r="L184" s="470">
        <v>4</v>
      </c>
      <c r="M184" s="470">
        <v>1</v>
      </c>
      <c r="N184" s="522"/>
    </row>
    <row r="185" spans="1:14" s="523" customFormat="1" ht="15">
      <c r="A185" s="522"/>
      <c r="B185" s="471" t="s">
        <v>1945</v>
      </c>
      <c r="C185" s="472">
        <v>62.69</v>
      </c>
      <c r="D185" s="472">
        <v>-141.77000000000001</v>
      </c>
      <c r="E185" s="470">
        <v>1992</v>
      </c>
      <c r="F185" s="470">
        <v>6</v>
      </c>
      <c r="G185" s="470" t="s">
        <v>1946</v>
      </c>
      <c r="H185" s="473">
        <v>104.9</v>
      </c>
      <c r="I185" s="470">
        <v>45</v>
      </c>
      <c r="J185" s="470">
        <v>48.8</v>
      </c>
      <c r="K185" s="472">
        <v>4</v>
      </c>
      <c r="L185" s="470">
        <v>4</v>
      </c>
      <c r="M185" s="470">
        <v>2</v>
      </c>
      <c r="N185" s="522"/>
    </row>
    <row r="186" spans="1:14" s="523" customFormat="1" ht="15">
      <c r="A186" s="522"/>
      <c r="B186" s="471" t="s">
        <v>2071</v>
      </c>
      <c r="C186" s="472">
        <v>64.87</v>
      </c>
      <c r="D186" s="472">
        <v>-147.71</v>
      </c>
      <c r="E186" s="470">
        <v>1990</v>
      </c>
      <c r="F186" s="470">
        <v>6</v>
      </c>
      <c r="G186" s="470">
        <v>27</v>
      </c>
      <c r="H186" s="473">
        <v>91.5</v>
      </c>
      <c r="I186" s="470">
        <v>70.3</v>
      </c>
      <c r="J186" s="470">
        <v>64.3</v>
      </c>
      <c r="K186" s="472">
        <v>4</v>
      </c>
      <c r="L186" s="470">
        <v>4</v>
      </c>
      <c r="M186" s="470">
        <v>1</v>
      </c>
      <c r="N186" s="522"/>
    </row>
    <row r="187" spans="1:14" s="523" customFormat="1" ht="15">
      <c r="A187" s="522"/>
      <c r="B187" s="471" t="s">
        <v>2071</v>
      </c>
      <c r="C187" s="472">
        <v>64.87</v>
      </c>
      <c r="D187" s="472">
        <v>-147.71</v>
      </c>
      <c r="E187" s="470">
        <v>1999</v>
      </c>
      <c r="F187" s="470">
        <v>7</v>
      </c>
      <c r="G187" s="470">
        <v>9</v>
      </c>
      <c r="H187" s="473">
        <v>104.2</v>
      </c>
      <c r="I187" s="470">
        <v>23.6</v>
      </c>
      <c r="J187" s="470">
        <v>24.6</v>
      </c>
      <c r="K187" s="472">
        <v>4</v>
      </c>
      <c r="L187" s="470">
        <v>4</v>
      </c>
      <c r="M187" s="470">
        <v>1</v>
      </c>
      <c r="N187" s="522"/>
    </row>
    <row r="188" spans="1:14" s="523" customFormat="1" ht="15">
      <c r="A188" s="522"/>
      <c r="B188" s="471" t="s">
        <v>2071</v>
      </c>
      <c r="C188" s="472">
        <v>64.87</v>
      </c>
      <c r="D188" s="472">
        <v>-147.71</v>
      </c>
      <c r="E188" s="470">
        <v>1999</v>
      </c>
      <c r="F188" s="470">
        <v>7</v>
      </c>
      <c r="G188" s="470">
        <v>11</v>
      </c>
      <c r="H188" s="473">
        <v>81.599999999999994</v>
      </c>
      <c r="I188" s="470">
        <v>24.4</v>
      </c>
      <c r="J188" s="470">
        <v>19.899999999999999</v>
      </c>
      <c r="K188" s="472">
        <v>4</v>
      </c>
      <c r="L188" s="470">
        <v>4</v>
      </c>
      <c r="M188" s="470">
        <v>1</v>
      </c>
      <c r="N188" s="522"/>
    </row>
    <row r="189" spans="1:14" s="523" customFormat="1" ht="15">
      <c r="A189" s="522"/>
      <c r="B189" s="471" t="s">
        <v>2071</v>
      </c>
      <c r="C189" s="472">
        <v>64.87</v>
      </c>
      <c r="D189" s="472">
        <v>-147.71</v>
      </c>
      <c r="E189" s="470">
        <v>1999</v>
      </c>
      <c r="F189" s="470">
        <v>7</v>
      </c>
      <c r="G189" s="470">
        <v>11</v>
      </c>
      <c r="H189" s="473">
        <v>65.400000000000006</v>
      </c>
      <c r="I189" s="470">
        <v>27.2</v>
      </c>
      <c r="J189" s="470">
        <v>17.8</v>
      </c>
      <c r="K189" s="472">
        <v>4</v>
      </c>
      <c r="L189" s="470">
        <v>4</v>
      </c>
      <c r="M189" s="470">
        <v>1</v>
      </c>
      <c r="N189" s="522"/>
    </row>
    <row r="190" spans="1:14" s="523" customFormat="1" ht="15">
      <c r="A190" s="522"/>
      <c r="B190" s="471" t="s">
        <v>2071</v>
      </c>
      <c r="C190" s="472">
        <v>64.87</v>
      </c>
      <c r="D190" s="472">
        <v>-147.71</v>
      </c>
      <c r="E190" s="475" t="s">
        <v>2112</v>
      </c>
      <c r="F190" s="475" t="s">
        <v>1904</v>
      </c>
      <c r="G190" s="475" t="s">
        <v>2072</v>
      </c>
      <c r="H190" s="473">
        <v>85.7</v>
      </c>
      <c r="I190" s="470">
        <v>36.4</v>
      </c>
      <c r="J190" s="470">
        <v>31.7</v>
      </c>
      <c r="K190" s="472">
        <v>4</v>
      </c>
      <c r="L190" s="470">
        <v>4</v>
      </c>
      <c r="M190" s="470">
        <v>2</v>
      </c>
      <c r="N190" s="522"/>
    </row>
    <row r="191" spans="1:14" s="523" customFormat="1" ht="15">
      <c r="A191" s="522"/>
      <c r="B191" s="471" t="s">
        <v>2028</v>
      </c>
      <c r="C191" s="470">
        <v>63</v>
      </c>
      <c r="D191" s="470">
        <v>-142</v>
      </c>
      <c r="E191" s="470" t="s">
        <v>1949</v>
      </c>
      <c r="F191" s="470" t="s">
        <v>2073</v>
      </c>
      <c r="G191" s="470" t="s">
        <v>2073</v>
      </c>
      <c r="H191" s="475">
        <v>154</v>
      </c>
      <c r="I191" s="470">
        <v>38.299999999999997</v>
      </c>
      <c r="J191" s="470">
        <v>59</v>
      </c>
      <c r="K191" s="472">
        <v>4</v>
      </c>
      <c r="L191" s="470">
        <v>4</v>
      </c>
      <c r="M191" s="470">
        <v>1</v>
      </c>
      <c r="N191" s="522"/>
    </row>
    <row r="192" spans="1:14" s="523" customFormat="1" ht="15">
      <c r="A192" s="522"/>
      <c r="B192" s="471" t="s">
        <v>2028</v>
      </c>
      <c r="C192" s="470">
        <v>63</v>
      </c>
      <c r="D192" s="470">
        <v>-142</v>
      </c>
      <c r="E192" s="470" t="s">
        <v>1949</v>
      </c>
      <c r="F192" s="470" t="s">
        <v>2074</v>
      </c>
      <c r="G192" s="470" t="s">
        <v>2074</v>
      </c>
      <c r="H192" s="475">
        <v>150</v>
      </c>
      <c r="I192" s="470">
        <v>79.900000000000006</v>
      </c>
      <c r="J192" s="470">
        <v>120</v>
      </c>
      <c r="K192" s="472">
        <v>4</v>
      </c>
      <c r="L192" s="470">
        <v>4</v>
      </c>
      <c r="M192" s="470">
        <v>1</v>
      </c>
      <c r="N192" s="522"/>
    </row>
    <row r="193" spans="1:14" s="523" customFormat="1" ht="15">
      <c r="A193" s="522"/>
      <c r="B193" s="471" t="s">
        <v>2028</v>
      </c>
      <c r="C193" s="470">
        <v>63</v>
      </c>
      <c r="D193" s="470">
        <v>-142</v>
      </c>
      <c r="E193" s="470" t="s">
        <v>1948</v>
      </c>
      <c r="F193" s="470" t="s">
        <v>273</v>
      </c>
      <c r="G193" s="470" t="s">
        <v>273</v>
      </c>
      <c r="H193" s="475">
        <v>152</v>
      </c>
      <c r="I193" s="470">
        <v>59.1</v>
      </c>
      <c r="J193" s="470">
        <v>89.5</v>
      </c>
      <c r="K193" s="472">
        <v>4</v>
      </c>
      <c r="L193" s="470">
        <v>4</v>
      </c>
      <c r="M193" s="470">
        <v>2</v>
      </c>
      <c r="N193" s="522"/>
    </row>
    <row r="194" spans="1:14" s="523" customFormat="1" ht="15">
      <c r="A194" s="522"/>
      <c r="B194" s="471" t="s">
        <v>1950</v>
      </c>
      <c r="C194" s="470">
        <v>65</v>
      </c>
      <c r="D194" s="470">
        <v>-146</v>
      </c>
      <c r="E194" s="470">
        <v>2004</v>
      </c>
      <c r="F194" s="473" t="s">
        <v>273</v>
      </c>
      <c r="G194" s="475" t="s">
        <v>273</v>
      </c>
      <c r="H194" s="475" t="s">
        <v>2100</v>
      </c>
      <c r="I194" s="470">
        <v>58.5</v>
      </c>
      <c r="J194" s="470">
        <v>40.200000000000003</v>
      </c>
      <c r="K194" s="472">
        <v>4</v>
      </c>
      <c r="L194" s="470">
        <v>4</v>
      </c>
      <c r="M194" s="470">
        <v>2</v>
      </c>
      <c r="N194" s="522"/>
    </row>
    <row r="195" spans="1:14" s="523" customFormat="1" ht="15">
      <c r="A195" s="522"/>
      <c r="B195" s="471" t="s">
        <v>2101</v>
      </c>
      <c r="C195" s="472">
        <v>60.45</v>
      </c>
      <c r="D195" s="472">
        <v>89.25</v>
      </c>
      <c r="E195" s="470">
        <v>1993</v>
      </c>
      <c r="F195" s="473" t="s">
        <v>273</v>
      </c>
      <c r="G195" s="475" t="s">
        <v>273</v>
      </c>
      <c r="H195" s="474">
        <v>33.6</v>
      </c>
      <c r="I195" s="474">
        <v>50.3</v>
      </c>
      <c r="J195" s="474">
        <v>16.899999999999999</v>
      </c>
      <c r="K195" s="472">
        <v>4</v>
      </c>
      <c r="L195" s="474">
        <v>4</v>
      </c>
      <c r="M195" s="470">
        <v>3</v>
      </c>
      <c r="N195" s="522"/>
    </row>
    <row r="196" spans="1:14" s="523" customFormat="1" ht="15">
      <c r="A196" s="522"/>
      <c r="B196" s="471" t="s">
        <v>2102</v>
      </c>
      <c r="C196" s="472">
        <v>58.58</v>
      </c>
      <c r="D196" s="472">
        <v>98.92</v>
      </c>
      <c r="E196" s="470" t="s">
        <v>840</v>
      </c>
      <c r="F196" s="473" t="s">
        <v>273</v>
      </c>
      <c r="G196" s="473" t="s">
        <v>273</v>
      </c>
      <c r="H196" s="473">
        <v>53.9</v>
      </c>
      <c r="I196" s="470">
        <v>31.4</v>
      </c>
      <c r="J196" s="470">
        <v>16.7</v>
      </c>
      <c r="K196" s="472">
        <v>4</v>
      </c>
      <c r="L196" s="470">
        <v>2</v>
      </c>
      <c r="M196" s="470">
        <v>3</v>
      </c>
      <c r="N196" s="522"/>
    </row>
    <row r="197" spans="1:14" s="523" customFormat="1" ht="15">
      <c r="A197" s="522"/>
      <c r="B197" s="471" t="s">
        <v>2102</v>
      </c>
      <c r="C197" s="472">
        <v>58.7</v>
      </c>
      <c r="D197" s="472">
        <v>98.42</v>
      </c>
      <c r="E197" s="470" t="s">
        <v>840</v>
      </c>
      <c r="F197" s="473" t="s">
        <v>273</v>
      </c>
      <c r="G197" s="475" t="s">
        <v>273</v>
      </c>
      <c r="H197" s="473">
        <v>43.2</v>
      </c>
      <c r="I197" s="470">
        <v>41.8</v>
      </c>
      <c r="J197" s="470">
        <v>18.100000000000001</v>
      </c>
      <c r="K197" s="472">
        <v>4</v>
      </c>
      <c r="L197" s="470">
        <v>2</v>
      </c>
      <c r="M197" s="470">
        <v>3</v>
      </c>
      <c r="N197" s="522"/>
    </row>
    <row r="198" spans="1:14" s="523" customFormat="1" ht="15">
      <c r="A198" s="522"/>
      <c r="B198" s="591" t="s">
        <v>2103</v>
      </c>
      <c r="C198" s="592">
        <v>34.799999999999997</v>
      </c>
      <c r="D198" s="592">
        <v>-82.6</v>
      </c>
      <c r="E198" s="593" t="s">
        <v>273</v>
      </c>
      <c r="F198" s="593" t="s">
        <v>273</v>
      </c>
      <c r="G198" s="594" t="s">
        <v>273</v>
      </c>
      <c r="H198" s="595">
        <v>110</v>
      </c>
      <c r="I198" s="593">
        <v>59</v>
      </c>
      <c r="J198" s="593">
        <v>65</v>
      </c>
      <c r="K198" s="592">
        <v>3</v>
      </c>
      <c r="L198" s="593">
        <v>4</v>
      </c>
      <c r="M198" s="593">
        <v>3</v>
      </c>
      <c r="N198" s="522"/>
    </row>
    <row r="199" spans="1:14" s="523" customFormat="1" ht="15">
      <c r="A199" s="522"/>
      <c r="B199" s="591" t="s">
        <v>2103</v>
      </c>
      <c r="C199" s="592">
        <v>35.21</v>
      </c>
      <c r="D199" s="592">
        <v>-83.48</v>
      </c>
      <c r="E199" s="593">
        <v>1990</v>
      </c>
      <c r="F199" s="593">
        <v>9</v>
      </c>
      <c r="G199" s="593" t="s">
        <v>1046</v>
      </c>
      <c r="H199" s="595">
        <v>181</v>
      </c>
      <c r="I199" s="593">
        <v>47.7</v>
      </c>
      <c r="J199" s="595">
        <v>86.3</v>
      </c>
      <c r="K199" s="592">
        <v>3</v>
      </c>
      <c r="L199" s="593">
        <v>4</v>
      </c>
      <c r="M199" s="593">
        <v>1</v>
      </c>
      <c r="N199" s="522"/>
    </row>
    <row r="200" spans="1:14" s="523" customFormat="1" ht="15">
      <c r="A200" s="522"/>
      <c r="B200" s="591" t="s">
        <v>2103</v>
      </c>
      <c r="C200" s="592">
        <v>35.21</v>
      </c>
      <c r="D200" s="592">
        <v>-83.48</v>
      </c>
      <c r="E200" s="593">
        <v>1990</v>
      </c>
      <c r="F200" s="593">
        <v>9</v>
      </c>
      <c r="G200" s="593" t="s">
        <v>1046</v>
      </c>
      <c r="H200" s="595">
        <v>224</v>
      </c>
      <c r="I200" s="593">
        <v>57.9</v>
      </c>
      <c r="J200" s="595">
        <v>129.69999999999999</v>
      </c>
      <c r="K200" s="592">
        <v>3</v>
      </c>
      <c r="L200" s="593">
        <v>4</v>
      </c>
      <c r="M200" s="593">
        <v>1</v>
      </c>
      <c r="N200" s="522"/>
    </row>
    <row r="201" spans="1:14" s="523" customFormat="1" ht="15">
      <c r="A201" s="522"/>
      <c r="B201" s="591" t="s">
        <v>2103</v>
      </c>
      <c r="C201" s="592">
        <v>35.21</v>
      </c>
      <c r="D201" s="592">
        <v>-83.48</v>
      </c>
      <c r="E201" s="593">
        <v>1990</v>
      </c>
      <c r="F201" s="593">
        <v>9</v>
      </c>
      <c r="G201" s="593" t="s">
        <v>1046</v>
      </c>
      <c r="H201" s="595">
        <v>126.1</v>
      </c>
      <c r="I201" s="593">
        <v>49.3</v>
      </c>
      <c r="J201" s="595">
        <v>62.2</v>
      </c>
      <c r="K201" s="592">
        <v>3</v>
      </c>
      <c r="L201" s="593">
        <v>4</v>
      </c>
      <c r="M201" s="593">
        <v>1</v>
      </c>
      <c r="N201" s="522"/>
    </row>
    <row r="202" spans="1:14" s="523" customFormat="1" ht="15">
      <c r="A202" s="522"/>
      <c r="B202" s="591" t="s">
        <v>2103</v>
      </c>
      <c r="C202" s="592">
        <v>35.21</v>
      </c>
      <c r="D202" s="592">
        <v>-83.48</v>
      </c>
      <c r="E202" s="593">
        <v>1990</v>
      </c>
      <c r="F202" s="593">
        <v>9</v>
      </c>
      <c r="G202" s="593" t="s">
        <v>1046</v>
      </c>
      <c r="H202" s="595">
        <v>177</v>
      </c>
      <c r="I202" s="593">
        <v>51.6</v>
      </c>
      <c r="J202" s="595">
        <v>92.7</v>
      </c>
      <c r="K202" s="592">
        <v>3</v>
      </c>
      <c r="L202" s="593">
        <v>4</v>
      </c>
      <c r="M202" s="593">
        <v>2</v>
      </c>
      <c r="N202" s="522"/>
    </row>
    <row r="203" spans="1:14" s="523" customFormat="1" ht="15">
      <c r="A203" s="522"/>
      <c r="B203" s="591" t="s">
        <v>2103</v>
      </c>
      <c r="C203" s="592">
        <v>36</v>
      </c>
      <c r="D203" s="592">
        <v>-79.099999999999994</v>
      </c>
      <c r="E203" s="593">
        <v>1983</v>
      </c>
      <c r="F203" s="593">
        <v>4</v>
      </c>
      <c r="G203" s="593">
        <v>13</v>
      </c>
      <c r="H203" s="593">
        <v>21.3</v>
      </c>
      <c r="I203" s="593">
        <v>11</v>
      </c>
      <c r="J203" s="595">
        <v>2.2999999999999998</v>
      </c>
      <c r="K203" s="592">
        <v>3</v>
      </c>
      <c r="L203" s="593">
        <v>1</v>
      </c>
      <c r="M203" s="593">
        <v>3</v>
      </c>
      <c r="N203" s="522"/>
    </row>
    <row r="204" spans="1:14" s="523" customFormat="1" ht="15">
      <c r="A204" s="522"/>
      <c r="B204" s="591" t="s">
        <v>2103</v>
      </c>
      <c r="C204" s="592">
        <v>34.799999999999997</v>
      </c>
      <c r="D204" s="592">
        <v>-82.6</v>
      </c>
      <c r="E204" s="593" t="s">
        <v>87</v>
      </c>
      <c r="F204" s="593" t="s">
        <v>88</v>
      </c>
      <c r="G204" s="596" t="s">
        <v>88</v>
      </c>
      <c r="H204" s="597" t="s">
        <v>88</v>
      </c>
      <c r="I204" s="597" t="s">
        <v>87</v>
      </c>
      <c r="J204" s="597">
        <v>8.1</v>
      </c>
      <c r="K204" s="592">
        <v>3</v>
      </c>
      <c r="L204" s="593">
        <v>1</v>
      </c>
      <c r="M204" s="593">
        <v>1</v>
      </c>
      <c r="N204" s="522"/>
    </row>
    <row r="205" spans="1:14" s="523" customFormat="1" ht="15">
      <c r="A205" s="522"/>
      <c r="B205" s="591" t="s">
        <v>2103</v>
      </c>
      <c r="C205" s="592">
        <v>34.799999999999997</v>
      </c>
      <c r="D205" s="592">
        <v>-82.6</v>
      </c>
      <c r="E205" s="593" t="s">
        <v>88</v>
      </c>
      <c r="F205" s="593" t="s">
        <v>88</v>
      </c>
      <c r="G205" s="596" t="s">
        <v>88</v>
      </c>
      <c r="H205" s="597" t="s">
        <v>88</v>
      </c>
      <c r="I205" s="597" t="s">
        <v>88</v>
      </c>
      <c r="J205" s="597">
        <v>6</v>
      </c>
      <c r="K205" s="592">
        <v>3</v>
      </c>
      <c r="L205" s="593">
        <v>1</v>
      </c>
      <c r="M205" s="593">
        <v>1</v>
      </c>
      <c r="N205" s="522"/>
    </row>
    <row r="206" spans="1:14" s="523" customFormat="1" ht="15">
      <c r="A206" s="522"/>
      <c r="B206" s="591" t="s">
        <v>2103</v>
      </c>
      <c r="C206" s="592">
        <v>34.799999999999997</v>
      </c>
      <c r="D206" s="592">
        <v>-82.6</v>
      </c>
      <c r="E206" s="593" t="s">
        <v>88</v>
      </c>
      <c r="F206" s="593" t="s">
        <v>88</v>
      </c>
      <c r="G206" s="596" t="s">
        <v>88</v>
      </c>
      <c r="H206" s="597" t="s">
        <v>88</v>
      </c>
      <c r="I206" s="597" t="s">
        <v>88</v>
      </c>
      <c r="J206" s="597">
        <v>1.4</v>
      </c>
      <c r="K206" s="592">
        <v>3</v>
      </c>
      <c r="L206" s="593">
        <v>1</v>
      </c>
      <c r="M206" s="593">
        <v>1</v>
      </c>
      <c r="N206" s="522"/>
    </row>
    <row r="207" spans="1:14" s="523" customFormat="1" ht="15">
      <c r="A207" s="522"/>
      <c r="B207" s="591" t="s">
        <v>2103</v>
      </c>
      <c r="C207" s="592">
        <v>34.799999999999997</v>
      </c>
      <c r="D207" s="592">
        <v>-82.6</v>
      </c>
      <c r="E207" s="593" t="s">
        <v>88</v>
      </c>
      <c r="F207" s="593" t="s">
        <v>88</v>
      </c>
      <c r="G207" s="596" t="s">
        <v>88</v>
      </c>
      <c r="H207" s="597" t="s">
        <v>88</v>
      </c>
      <c r="I207" s="597" t="s">
        <v>89</v>
      </c>
      <c r="J207" s="597">
        <v>5.2</v>
      </c>
      <c r="K207" s="592">
        <v>3</v>
      </c>
      <c r="L207" s="593">
        <v>1</v>
      </c>
      <c r="M207" s="593">
        <v>2</v>
      </c>
      <c r="N207" s="522"/>
    </row>
    <row r="208" spans="1:14" s="523" customFormat="1" ht="14" customHeight="1">
      <c r="A208" s="522"/>
      <c r="B208" s="591" t="s">
        <v>2103</v>
      </c>
      <c r="C208" s="592">
        <v>37.5</v>
      </c>
      <c r="D208" s="592">
        <v>-122</v>
      </c>
      <c r="E208" s="593" t="s">
        <v>273</v>
      </c>
      <c r="F208" s="593" t="s">
        <v>273</v>
      </c>
      <c r="G208" s="594" t="s">
        <v>273</v>
      </c>
      <c r="H208" s="595" t="s">
        <v>273</v>
      </c>
      <c r="I208" s="595" t="s">
        <v>273</v>
      </c>
      <c r="J208" s="595">
        <v>7.4</v>
      </c>
      <c r="K208" s="592">
        <v>3</v>
      </c>
      <c r="L208" s="593">
        <v>1</v>
      </c>
      <c r="M208" s="593">
        <v>1</v>
      </c>
      <c r="N208" s="522"/>
    </row>
    <row r="209" spans="1:14" s="523" customFormat="1" ht="15">
      <c r="A209" s="522"/>
      <c r="B209" s="591" t="s">
        <v>2103</v>
      </c>
      <c r="C209" s="592">
        <v>37.5</v>
      </c>
      <c r="D209" s="592">
        <v>-122</v>
      </c>
      <c r="E209" s="593" t="s">
        <v>273</v>
      </c>
      <c r="F209" s="593" t="s">
        <v>273</v>
      </c>
      <c r="G209" s="594" t="s">
        <v>273</v>
      </c>
      <c r="H209" s="595" t="s">
        <v>273</v>
      </c>
      <c r="I209" s="595" t="s">
        <v>273</v>
      </c>
      <c r="J209" s="595">
        <v>6.5</v>
      </c>
      <c r="K209" s="592">
        <v>3</v>
      </c>
      <c r="L209" s="593">
        <v>1</v>
      </c>
      <c r="M209" s="593">
        <v>1</v>
      </c>
      <c r="N209" s="522"/>
    </row>
    <row r="210" spans="1:14" s="523" customFormat="1" ht="15">
      <c r="A210" s="522"/>
      <c r="B210" s="591" t="s">
        <v>2103</v>
      </c>
      <c r="C210" s="592">
        <v>37.5</v>
      </c>
      <c r="D210" s="592">
        <v>-122</v>
      </c>
      <c r="E210" s="593" t="s">
        <v>273</v>
      </c>
      <c r="F210" s="593" t="s">
        <v>273</v>
      </c>
      <c r="G210" s="594" t="s">
        <v>273</v>
      </c>
      <c r="H210" s="596" t="s">
        <v>273</v>
      </c>
      <c r="I210" s="596" t="s">
        <v>273</v>
      </c>
      <c r="J210" s="595">
        <v>18.7</v>
      </c>
      <c r="K210" s="592">
        <v>3</v>
      </c>
      <c r="L210" s="593">
        <v>1</v>
      </c>
      <c r="M210" s="593">
        <v>1</v>
      </c>
      <c r="N210" s="522"/>
    </row>
    <row r="211" spans="1:14" s="523" customFormat="1" ht="15">
      <c r="A211" s="522"/>
      <c r="B211" s="591" t="s">
        <v>2103</v>
      </c>
      <c r="C211" s="592">
        <v>37.5</v>
      </c>
      <c r="D211" s="592">
        <v>-122</v>
      </c>
      <c r="E211" s="593" t="s">
        <v>273</v>
      </c>
      <c r="F211" s="593" t="s">
        <v>273</v>
      </c>
      <c r="G211" s="594" t="s">
        <v>273</v>
      </c>
      <c r="H211" s="596" t="s">
        <v>273</v>
      </c>
      <c r="I211" s="596" t="s">
        <v>273</v>
      </c>
      <c r="J211" s="595">
        <v>25.4</v>
      </c>
      <c r="K211" s="592">
        <v>3</v>
      </c>
      <c r="L211" s="593">
        <v>1</v>
      </c>
      <c r="M211" s="593">
        <v>1</v>
      </c>
      <c r="N211" s="522"/>
    </row>
    <row r="212" spans="1:14" s="523" customFormat="1" ht="15">
      <c r="A212" s="522"/>
      <c r="B212" s="591" t="s">
        <v>2103</v>
      </c>
      <c r="C212" s="592">
        <v>37.5</v>
      </c>
      <c r="D212" s="592">
        <v>-122</v>
      </c>
      <c r="E212" s="593" t="s">
        <v>273</v>
      </c>
      <c r="F212" s="593" t="s">
        <v>273</v>
      </c>
      <c r="G212" s="594" t="s">
        <v>273</v>
      </c>
      <c r="H212" s="596" t="s">
        <v>273</v>
      </c>
      <c r="I212" s="596" t="s">
        <v>273</v>
      </c>
      <c r="J212" s="595">
        <v>14.5</v>
      </c>
      <c r="K212" s="592">
        <v>3</v>
      </c>
      <c r="L212" s="593">
        <v>1</v>
      </c>
      <c r="M212" s="593">
        <v>2</v>
      </c>
      <c r="N212" s="522"/>
    </row>
    <row r="213" spans="1:14" s="523" customFormat="1" ht="15">
      <c r="A213" s="522"/>
      <c r="B213" s="591" t="s">
        <v>1956</v>
      </c>
      <c r="C213" s="592">
        <v>34.82</v>
      </c>
      <c r="D213" s="592">
        <v>-94.13</v>
      </c>
      <c r="E213" s="593" t="s">
        <v>1117</v>
      </c>
      <c r="F213" s="596" t="s">
        <v>1957</v>
      </c>
      <c r="G213" s="596" t="s">
        <v>273</v>
      </c>
      <c r="H213" s="593">
        <v>11.2</v>
      </c>
      <c r="I213" s="593">
        <v>49</v>
      </c>
      <c r="J213" s="593">
        <v>5.5</v>
      </c>
      <c r="K213" s="592">
        <v>3</v>
      </c>
      <c r="L213" s="593">
        <v>2</v>
      </c>
      <c r="M213" s="593">
        <v>1</v>
      </c>
      <c r="N213" s="522"/>
    </row>
    <row r="214" spans="1:14" s="523" customFormat="1" ht="15">
      <c r="A214" s="522"/>
      <c r="B214" s="591" t="s">
        <v>1956</v>
      </c>
      <c r="C214" s="592">
        <v>34.82</v>
      </c>
      <c r="D214" s="592">
        <v>-94.13</v>
      </c>
      <c r="E214" s="593" t="s">
        <v>1360</v>
      </c>
      <c r="F214" s="596" t="s">
        <v>1958</v>
      </c>
      <c r="G214" s="594" t="s">
        <v>1046</v>
      </c>
      <c r="H214" s="593">
        <v>9.6</v>
      </c>
      <c r="I214" s="593">
        <v>41</v>
      </c>
      <c r="J214" s="593">
        <v>3.9</v>
      </c>
      <c r="K214" s="592">
        <v>3</v>
      </c>
      <c r="L214" s="593">
        <v>2</v>
      </c>
      <c r="M214" s="593">
        <v>1</v>
      </c>
      <c r="N214" s="522"/>
    </row>
    <row r="215" spans="1:14" s="523" customFormat="1" ht="15">
      <c r="A215" s="522"/>
      <c r="B215" s="591" t="s">
        <v>1959</v>
      </c>
      <c r="C215" s="592">
        <v>34.82</v>
      </c>
      <c r="D215" s="592">
        <v>-94.13</v>
      </c>
      <c r="E215" s="596" t="s">
        <v>1960</v>
      </c>
      <c r="F215" s="596" t="s">
        <v>1961</v>
      </c>
      <c r="G215" s="596" t="s">
        <v>273</v>
      </c>
      <c r="H215" s="593">
        <v>10.4</v>
      </c>
      <c r="I215" s="593">
        <v>45</v>
      </c>
      <c r="J215" s="593">
        <v>4.7</v>
      </c>
      <c r="K215" s="592">
        <v>3</v>
      </c>
      <c r="L215" s="593">
        <v>2</v>
      </c>
      <c r="M215" s="593">
        <v>2</v>
      </c>
      <c r="N215" s="522"/>
    </row>
    <row r="216" spans="1:14" s="523" customFormat="1" ht="15">
      <c r="A216" s="522"/>
      <c r="B216" s="591" t="s">
        <v>1962</v>
      </c>
      <c r="C216" s="592">
        <v>36.6</v>
      </c>
      <c r="D216" s="592">
        <v>-118.81</v>
      </c>
      <c r="E216" s="593">
        <v>1992</v>
      </c>
      <c r="F216" s="593">
        <v>10</v>
      </c>
      <c r="G216" s="593" t="s">
        <v>1046</v>
      </c>
      <c r="H216" s="595">
        <v>230.4</v>
      </c>
      <c r="I216" s="593">
        <v>92</v>
      </c>
      <c r="J216" s="593">
        <v>212</v>
      </c>
      <c r="K216" s="592">
        <v>3</v>
      </c>
      <c r="L216" s="593">
        <v>4</v>
      </c>
      <c r="M216" s="593">
        <v>3</v>
      </c>
      <c r="N216" s="522"/>
    </row>
    <row r="217" spans="1:14" s="523" customFormat="1" ht="15">
      <c r="A217" s="522"/>
      <c r="B217" s="591" t="s">
        <v>1963</v>
      </c>
      <c r="C217" s="592">
        <v>38.9</v>
      </c>
      <c r="D217" s="592">
        <v>-120.67</v>
      </c>
      <c r="E217" s="593">
        <v>2002</v>
      </c>
      <c r="F217" s="593">
        <v>10</v>
      </c>
      <c r="G217" s="593" t="s">
        <v>1964</v>
      </c>
      <c r="H217" s="595">
        <v>141</v>
      </c>
      <c r="I217" s="593">
        <v>79</v>
      </c>
      <c r="J217" s="593">
        <v>111.4</v>
      </c>
      <c r="K217" s="592">
        <v>3</v>
      </c>
      <c r="L217" s="593">
        <v>4</v>
      </c>
      <c r="M217" s="593">
        <v>3</v>
      </c>
      <c r="N217" s="522"/>
    </row>
    <row r="218" spans="1:14" s="523" customFormat="1" ht="15">
      <c r="A218" s="522"/>
      <c r="B218" s="591" t="s">
        <v>1965</v>
      </c>
      <c r="C218" s="592">
        <v>38.9</v>
      </c>
      <c r="D218" s="592">
        <v>-120.62</v>
      </c>
      <c r="E218" s="593">
        <v>2001</v>
      </c>
      <c r="F218" s="593">
        <v>11</v>
      </c>
      <c r="G218" s="593" t="s">
        <v>1046</v>
      </c>
      <c r="H218" s="595">
        <v>154.4</v>
      </c>
      <c r="I218" s="593">
        <v>51.4</v>
      </c>
      <c r="J218" s="593">
        <v>79.3</v>
      </c>
      <c r="K218" s="592">
        <v>3</v>
      </c>
      <c r="L218" s="593">
        <v>4</v>
      </c>
      <c r="M218" s="593">
        <v>1</v>
      </c>
      <c r="N218" s="522"/>
    </row>
    <row r="219" spans="1:14" s="523" customFormat="1" ht="15">
      <c r="A219" s="522"/>
      <c r="B219" s="591" t="s">
        <v>1965</v>
      </c>
      <c r="C219" s="592">
        <v>38.9</v>
      </c>
      <c r="D219" s="592">
        <v>-120.62</v>
      </c>
      <c r="E219" s="593">
        <v>2002</v>
      </c>
      <c r="F219" s="593">
        <v>10</v>
      </c>
      <c r="G219" s="593" t="s">
        <v>1046</v>
      </c>
      <c r="H219" s="595">
        <v>154.4</v>
      </c>
      <c r="I219" s="593">
        <v>88</v>
      </c>
      <c r="J219" s="593">
        <v>135.80000000000001</v>
      </c>
      <c r="K219" s="592">
        <v>3</v>
      </c>
      <c r="L219" s="593">
        <v>4</v>
      </c>
      <c r="M219" s="593">
        <v>1</v>
      </c>
      <c r="N219" s="522"/>
    </row>
    <row r="220" spans="1:14" s="523" customFormat="1" ht="15">
      <c r="A220" s="522"/>
      <c r="B220" s="591" t="s">
        <v>1965</v>
      </c>
      <c r="C220" s="592">
        <v>38.9</v>
      </c>
      <c r="D220" s="592">
        <v>-120.62</v>
      </c>
      <c r="E220" s="596" t="s">
        <v>2057</v>
      </c>
      <c r="F220" s="596" t="s">
        <v>1966</v>
      </c>
      <c r="G220" s="596" t="s">
        <v>273</v>
      </c>
      <c r="H220" s="595">
        <v>154.4</v>
      </c>
      <c r="I220" s="593">
        <v>69.7</v>
      </c>
      <c r="J220" s="593">
        <v>107.6</v>
      </c>
      <c r="K220" s="592">
        <v>3</v>
      </c>
      <c r="L220" s="593">
        <v>4</v>
      </c>
      <c r="M220" s="593">
        <v>2</v>
      </c>
      <c r="N220" s="522"/>
    </row>
    <row r="221" spans="1:14" s="523" customFormat="1" ht="15">
      <c r="A221" s="522"/>
      <c r="B221" s="591" t="s">
        <v>1967</v>
      </c>
      <c r="C221" s="592">
        <v>24.73</v>
      </c>
      <c r="D221" s="592">
        <v>-81.400000000000006</v>
      </c>
      <c r="E221" s="593">
        <v>1998</v>
      </c>
      <c r="F221" s="593" t="s">
        <v>1046</v>
      </c>
      <c r="G221" s="593" t="s">
        <v>1046</v>
      </c>
      <c r="H221" s="593">
        <v>22</v>
      </c>
      <c r="I221" s="593">
        <v>66</v>
      </c>
      <c r="J221" s="593">
        <v>15</v>
      </c>
      <c r="K221" s="592">
        <v>3</v>
      </c>
      <c r="L221" s="593">
        <v>4</v>
      </c>
      <c r="M221" s="593">
        <v>1</v>
      </c>
      <c r="N221" s="522"/>
    </row>
    <row r="222" spans="1:14" s="523" customFormat="1" ht="15">
      <c r="A222" s="522"/>
      <c r="B222" s="591" t="s">
        <v>1967</v>
      </c>
      <c r="C222" s="592">
        <v>24.73</v>
      </c>
      <c r="D222" s="592">
        <v>-81.400000000000006</v>
      </c>
      <c r="E222" s="593">
        <v>1998</v>
      </c>
      <c r="F222" s="593" t="s">
        <v>1046</v>
      </c>
      <c r="G222" s="593" t="s">
        <v>1046</v>
      </c>
      <c r="H222" s="593">
        <v>29</v>
      </c>
      <c r="I222" s="593">
        <v>54</v>
      </c>
      <c r="J222" s="593">
        <v>16</v>
      </c>
      <c r="K222" s="592">
        <v>3</v>
      </c>
      <c r="L222" s="593">
        <v>4</v>
      </c>
      <c r="M222" s="593">
        <v>1</v>
      </c>
      <c r="N222" s="522"/>
    </row>
    <row r="223" spans="1:14" s="523" customFormat="1" ht="15">
      <c r="A223" s="522"/>
      <c r="B223" s="591" t="s">
        <v>1967</v>
      </c>
      <c r="C223" s="592">
        <v>24.73</v>
      </c>
      <c r="D223" s="592">
        <v>-81.400000000000006</v>
      </c>
      <c r="E223" s="593">
        <v>1999</v>
      </c>
      <c r="F223" s="593" t="s">
        <v>1046</v>
      </c>
      <c r="G223" s="593" t="s">
        <v>1046</v>
      </c>
      <c r="H223" s="593">
        <v>19</v>
      </c>
      <c r="I223" s="593">
        <v>47</v>
      </c>
      <c r="J223" s="593">
        <v>9</v>
      </c>
      <c r="K223" s="592">
        <v>3</v>
      </c>
      <c r="L223" s="593">
        <v>4</v>
      </c>
      <c r="M223" s="593">
        <v>1</v>
      </c>
      <c r="N223" s="522"/>
    </row>
    <row r="224" spans="1:14" s="523" customFormat="1" ht="15">
      <c r="A224" s="522"/>
      <c r="B224" s="591" t="s">
        <v>1967</v>
      </c>
      <c r="C224" s="592">
        <v>24.73</v>
      </c>
      <c r="D224" s="592">
        <v>-81.400000000000006</v>
      </c>
      <c r="E224" s="593">
        <v>1999</v>
      </c>
      <c r="F224" s="593" t="s">
        <v>1046</v>
      </c>
      <c r="G224" s="593" t="s">
        <v>1046</v>
      </c>
      <c r="H224" s="593">
        <v>25</v>
      </c>
      <c r="I224" s="593">
        <v>73</v>
      </c>
      <c r="J224" s="593">
        <v>18</v>
      </c>
      <c r="K224" s="592">
        <v>3</v>
      </c>
      <c r="L224" s="593">
        <v>4</v>
      </c>
      <c r="M224" s="593">
        <v>1</v>
      </c>
      <c r="N224" s="522"/>
    </row>
    <row r="225" spans="1:14" s="523" customFormat="1" ht="15">
      <c r="A225" s="522"/>
      <c r="B225" s="591" t="s">
        <v>1967</v>
      </c>
      <c r="C225" s="592">
        <v>24.73</v>
      </c>
      <c r="D225" s="592">
        <v>-81.400000000000006</v>
      </c>
      <c r="E225" s="593">
        <v>2000</v>
      </c>
      <c r="F225" s="593" t="s">
        <v>1046</v>
      </c>
      <c r="G225" s="593" t="s">
        <v>1046</v>
      </c>
      <c r="H225" s="593">
        <v>14</v>
      </c>
      <c r="I225" s="593">
        <v>48</v>
      </c>
      <c r="J225" s="593">
        <v>7</v>
      </c>
      <c r="K225" s="592">
        <v>3</v>
      </c>
      <c r="L225" s="593">
        <v>4</v>
      </c>
      <c r="M225" s="593">
        <v>1</v>
      </c>
      <c r="N225" s="522"/>
    </row>
    <row r="226" spans="1:14" s="523" customFormat="1" ht="15">
      <c r="A226" s="522"/>
      <c r="B226" s="591" t="s">
        <v>1967</v>
      </c>
      <c r="C226" s="592">
        <v>24.73</v>
      </c>
      <c r="D226" s="592">
        <v>-81.400000000000006</v>
      </c>
      <c r="E226" s="593">
        <v>2000</v>
      </c>
      <c r="F226" s="593" t="s">
        <v>1046</v>
      </c>
      <c r="G226" s="593" t="s">
        <v>1046</v>
      </c>
      <c r="H226" s="593">
        <v>29</v>
      </c>
      <c r="I226" s="593">
        <v>51</v>
      </c>
      <c r="J226" s="593">
        <v>15</v>
      </c>
      <c r="K226" s="592">
        <v>3</v>
      </c>
      <c r="L226" s="593">
        <v>4</v>
      </c>
      <c r="M226" s="593">
        <v>1</v>
      </c>
      <c r="N226" s="522"/>
    </row>
    <row r="227" spans="1:14" s="523" customFormat="1" ht="15">
      <c r="A227" s="522"/>
      <c r="B227" s="591" t="s">
        <v>1967</v>
      </c>
      <c r="C227" s="592">
        <v>24.73</v>
      </c>
      <c r="D227" s="592">
        <v>-81.400000000000006</v>
      </c>
      <c r="E227" s="596" t="s">
        <v>1984</v>
      </c>
      <c r="F227" s="596" t="s">
        <v>273</v>
      </c>
      <c r="G227" s="596" t="s">
        <v>273</v>
      </c>
      <c r="H227" s="593">
        <v>28.4</v>
      </c>
      <c r="I227" s="593">
        <v>56.5</v>
      </c>
      <c r="J227" s="593">
        <v>13.3</v>
      </c>
      <c r="K227" s="592">
        <v>3</v>
      </c>
      <c r="L227" s="593">
        <v>4</v>
      </c>
      <c r="M227" s="593">
        <v>2</v>
      </c>
      <c r="N227" s="522"/>
    </row>
    <row r="228" spans="1:14" s="523" customFormat="1" ht="15">
      <c r="A228" s="522"/>
      <c r="B228" s="591" t="s">
        <v>1985</v>
      </c>
      <c r="C228" s="592">
        <v>42.4</v>
      </c>
      <c r="D228" s="592">
        <v>-124.1</v>
      </c>
      <c r="E228" s="593">
        <v>2002</v>
      </c>
      <c r="F228" s="593">
        <v>8</v>
      </c>
      <c r="G228" s="593" t="s">
        <v>273</v>
      </c>
      <c r="H228" s="593" t="s">
        <v>1046</v>
      </c>
      <c r="I228" s="593" t="s">
        <v>1046</v>
      </c>
      <c r="J228" s="593">
        <v>34</v>
      </c>
      <c r="K228" s="592">
        <v>3</v>
      </c>
      <c r="L228" s="593">
        <v>4</v>
      </c>
      <c r="M228" s="593">
        <v>1</v>
      </c>
      <c r="N228" s="522"/>
    </row>
    <row r="229" spans="1:14" s="523" customFormat="1" ht="15">
      <c r="A229" s="522"/>
      <c r="B229" s="591" t="s">
        <v>1985</v>
      </c>
      <c r="C229" s="592">
        <v>42.4</v>
      </c>
      <c r="D229" s="592">
        <v>-124.1</v>
      </c>
      <c r="E229" s="593">
        <v>2002</v>
      </c>
      <c r="F229" s="593">
        <v>8</v>
      </c>
      <c r="G229" s="593" t="s">
        <v>273</v>
      </c>
      <c r="H229" s="593" t="s">
        <v>1046</v>
      </c>
      <c r="I229" s="593" t="s">
        <v>1046</v>
      </c>
      <c r="J229" s="593">
        <v>44</v>
      </c>
      <c r="K229" s="592">
        <v>3</v>
      </c>
      <c r="L229" s="593">
        <v>4</v>
      </c>
      <c r="M229" s="593">
        <v>1</v>
      </c>
      <c r="N229" s="522"/>
    </row>
    <row r="230" spans="1:14" s="523" customFormat="1" ht="15">
      <c r="A230" s="522"/>
      <c r="B230" s="591" t="s">
        <v>1985</v>
      </c>
      <c r="C230" s="592">
        <v>42.4</v>
      </c>
      <c r="D230" s="592">
        <v>-124.1</v>
      </c>
      <c r="E230" s="593">
        <v>2002</v>
      </c>
      <c r="F230" s="593">
        <v>8</v>
      </c>
      <c r="G230" s="593" t="s">
        <v>273</v>
      </c>
      <c r="H230" s="593" t="s">
        <v>273</v>
      </c>
      <c r="I230" s="593" t="s">
        <v>273</v>
      </c>
      <c r="J230" s="593">
        <v>38</v>
      </c>
      <c r="K230" s="592">
        <v>3</v>
      </c>
      <c r="L230" s="593">
        <v>4</v>
      </c>
      <c r="M230" s="593">
        <v>2</v>
      </c>
      <c r="N230" s="522"/>
    </row>
    <row r="231" spans="1:14" s="523" customFormat="1" ht="15">
      <c r="A231" s="522"/>
      <c r="B231" s="591" t="s">
        <v>1986</v>
      </c>
      <c r="C231" s="592">
        <v>33.56</v>
      </c>
      <c r="D231" s="592">
        <v>-81.7</v>
      </c>
      <c r="E231" s="593">
        <v>1996</v>
      </c>
      <c r="F231" s="596" t="s">
        <v>1987</v>
      </c>
      <c r="G231" s="594" t="s">
        <v>1046</v>
      </c>
      <c r="H231" s="593">
        <v>18</v>
      </c>
      <c r="I231" s="593">
        <v>70</v>
      </c>
      <c r="J231" s="595">
        <v>13</v>
      </c>
      <c r="K231" s="592">
        <v>3</v>
      </c>
      <c r="L231" s="595">
        <v>1</v>
      </c>
      <c r="M231" s="593">
        <v>1</v>
      </c>
      <c r="N231" s="522"/>
    </row>
    <row r="232" spans="1:14" s="523" customFormat="1" ht="15">
      <c r="A232" s="522"/>
      <c r="B232" s="591" t="s">
        <v>1986</v>
      </c>
      <c r="C232" s="592">
        <v>33.56</v>
      </c>
      <c r="D232" s="592">
        <v>-81.7</v>
      </c>
      <c r="E232" s="593">
        <v>1997</v>
      </c>
      <c r="F232" s="596" t="s">
        <v>1987</v>
      </c>
      <c r="G232" s="594" t="s">
        <v>1046</v>
      </c>
      <c r="H232" s="593">
        <v>20</v>
      </c>
      <c r="I232" s="593">
        <v>40</v>
      </c>
      <c r="J232" s="595">
        <v>8</v>
      </c>
      <c r="K232" s="592">
        <v>3</v>
      </c>
      <c r="L232" s="595">
        <v>1</v>
      </c>
      <c r="M232" s="593">
        <v>1</v>
      </c>
      <c r="N232" s="522"/>
    </row>
    <row r="233" spans="1:14" s="523" customFormat="1" ht="15">
      <c r="A233" s="522"/>
      <c r="B233" s="591" t="s">
        <v>1986</v>
      </c>
      <c r="C233" s="592">
        <v>33.56</v>
      </c>
      <c r="D233" s="592">
        <v>-81.7</v>
      </c>
      <c r="E233" s="596" t="s">
        <v>1988</v>
      </c>
      <c r="F233" s="596" t="s">
        <v>1987</v>
      </c>
      <c r="G233" s="596" t="s">
        <v>273</v>
      </c>
      <c r="H233" s="593">
        <v>19</v>
      </c>
      <c r="I233" s="593">
        <v>55</v>
      </c>
      <c r="J233" s="593">
        <v>10.5</v>
      </c>
      <c r="K233" s="592">
        <v>3</v>
      </c>
      <c r="L233" s="593">
        <v>1</v>
      </c>
      <c r="M233" s="593">
        <v>2</v>
      </c>
      <c r="N233" s="522"/>
    </row>
    <row r="234" spans="1:14" s="523" customFormat="1" ht="15">
      <c r="A234" s="522"/>
      <c r="B234" s="591" t="s">
        <v>2145</v>
      </c>
      <c r="C234" s="598">
        <v>34.630000000000003</v>
      </c>
      <c r="D234" s="598">
        <v>-77.400000000000006</v>
      </c>
      <c r="E234" s="600">
        <v>1997</v>
      </c>
      <c r="F234" s="605">
        <v>4</v>
      </c>
      <c r="G234" s="605">
        <v>14</v>
      </c>
      <c r="H234" s="598">
        <v>9</v>
      </c>
      <c r="I234" s="598">
        <v>62</v>
      </c>
      <c r="J234" s="598">
        <v>5.6</v>
      </c>
      <c r="K234" s="599">
        <v>3</v>
      </c>
      <c r="L234" s="598">
        <v>2</v>
      </c>
      <c r="M234" s="593">
        <v>1</v>
      </c>
      <c r="N234" s="522"/>
    </row>
    <row r="235" spans="1:14" s="523" customFormat="1" ht="15">
      <c r="A235" s="522"/>
      <c r="B235" s="591" t="s">
        <v>2145</v>
      </c>
      <c r="C235" s="598">
        <v>34.630000000000003</v>
      </c>
      <c r="D235" s="598">
        <v>-77.400000000000006</v>
      </c>
      <c r="E235" s="601">
        <v>1997</v>
      </c>
      <c r="F235" s="606">
        <v>4</v>
      </c>
      <c r="G235" s="606">
        <v>26</v>
      </c>
      <c r="H235" s="598">
        <v>11</v>
      </c>
      <c r="I235" s="598" t="s">
        <v>1046</v>
      </c>
      <c r="J235" s="598" t="s">
        <v>1046</v>
      </c>
      <c r="K235" s="599">
        <v>3</v>
      </c>
      <c r="L235" s="598">
        <v>2</v>
      </c>
      <c r="M235" s="593">
        <v>1</v>
      </c>
      <c r="N235" s="522"/>
    </row>
    <row r="236" spans="1:14" s="523" customFormat="1" ht="15">
      <c r="A236" s="522"/>
      <c r="B236" s="591" t="s">
        <v>2145</v>
      </c>
      <c r="C236" s="598">
        <v>34.630000000000003</v>
      </c>
      <c r="D236" s="598">
        <v>-77.400000000000006</v>
      </c>
      <c r="E236" s="601">
        <v>2010</v>
      </c>
      <c r="F236" s="606">
        <v>2</v>
      </c>
      <c r="G236" s="606">
        <v>11</v>
      </c>
      <c r="H236" s="598">
        <v>8.4700000000000006</v>
      </c>
      <c r="I236" s="598">
        <v>11</v>
      </c>
      <c r="J236" s="598">
        <v>0.89300000000000002</v>
      </c>
      <c r="K236" s="599">
        <v>3</v>
      </c>
      <c r="L236" s="598">
        <v>2</v>
      </c>
      <c r="M236" s="593">
        <v>1</v>
      </c>
      <c r="N236" s="522"/>
    </row>
    <row r="237" spans="1:14" s="523" customFormat="1" ht="15">
      <c r="A237" s="522"/>
      <c r="B237" s="591" t="s">
        <v>2145</v>
      </c>
      <c r="C237" s="598">
        <v>34.630000000000003</v>
      </c>
      <c r="D237" s="598">
        <v>-77.400000000000006</v>
      </c>
      <c r="E237" s="601">
        <v>2010</v>
      </c>
      <c r="F237" s="606">
        <v>3</v>
      </c>
      <c r="G237" s="606">
        <v>1</v>
      </c>
      <c r="H237" s="598">
        <v>16.8</v>
      </c>
      <c r="I237" s="598">
        <v>61</v>
      </c>
      <c r="J237" s="598">
        <v>10.199999999999999</v>
      </c>
      <c r="K237" s="599">
        <v>3</v>
      </c>
      <c r="L237" s="598">
        <v>2</v>
      </c>
      <c r="M237" s="593">
        <v>1</v>
      </c>
      <c r="N237" s="522"/>
    </row>
    <row r="238" spans="1:14" s="523" customFormat="1" ht="15">
      <c r="A238" s="522"/>
      <c r="B238" s="591" t="s">
        <v>2145</v>
      </c>
      <c r="C238" s="598">
        <v>34.630000000000003</v>
      </c>
      <c r="D238" s="598">
        <v>-77.400000000000006</v>
      </c>
      <c r="E238" s="598" t="s">
        <v>2146</v>
      </c>
      <c r="F238" s="603" t="s">
        <v>2147</v>
      </c>
      <c r="G238" s="604" t="s">
        <v>2149</v>
      </c>
      <c r="H238" s="598">
        <v>11.3</v>
      </c>
      <c r="I238" s="598">
        <v>44.7</v>
      </c>
      <c r="J238" s="598">
        <v>5.6</v>
      </c>
      <c r="K238" s="599">
        <v>3</v>
      </c>
      <c r="L238" s="598">
        <v>2</v>
      </c>
      <c r="M238" s="593">
        <v>2</v>
      </c>
      <c r="N238" s="522"/>
    </row>
    <row r="239" spans="1:14" s="523" customFormat="1" ht="15">
      <c r="A239" s="522"/>
      <c r="B239" s="591" t="s">
        <v>2145</v>
      </c>
      <c r="C239" s="598">
        <v>34.01</v>
      </c>
      <c r="D239" s="598">
        <v>-80.72</v>
      </c>
      <c r="E239" s="602">
        <v>2011</v>
      </c>
      <c r="F239" s="602">
        <v>10</v>
      </c>
      <c r="G239" s="602">
        <v>30</v>
      </c>
      <c r="H239" s="598" t="s">
        <v>1046</v>
      </c>
      <c r="I239" s="598" t="s">
        <v>1046</v>
      </c>
      <c r="J239" s="598">
        <v>8.6</v>
      </c>
      <c r="K239" s="599">
        <v>3</v>
      </c>
      <c r="L239" s="598">
        <v>2</v>
      </c>
      <c r="M239" s="593">
        <v>1</v>
      </c>
      <c r="N239" s="522"/>
    </row>
    <row r="240" spans="1:14" s="523" customFormat="1" ht="15">
      <c r="A240" s="522"/>
      <c r="B240" s="591" t="s">
        <v>2145</v>
      </c>
      <c r="C240" s="598">
        <v>34.01</v>
      </c>
      <c r="D240" s="598">
        <v>-80.72</v>
      </c>
      <c r="E240" s="602">
        <v>2011</v>
      </c>
      <c r="F240" s="602">
        <v>11</v>
      </c>
      <c r="G240" s="602">
        <v>1</v>
      </c>
      <c r="H240" s="598">
        <v>8.5</v>
      </c>
      <c r="I240" s="598">
        <v>67</v>
      </c>
      <c r="J240" s="598">
        <v>5.7</v>
      </c>
      <c r="K240" s="599">
        <v>3</v>
      </c>
      <c r="L240" s="598">
        <v>2</v>
      </c>
      <c r="M240" s="593">
        <v>1</v>
      </c>
      <c r="N240" s="522"/>
    </row>
    <row r="241" spans="1:14" s="523" customFormat="1" ht="15">
      <c r="A241" s="522"/>
      <c r="B241" s="591" t="s">
        <v>2145</v>
      </c>
      <c r="C241" s="598">
        <v>34.01</v>
      </c>
      <c r="D241" s="598">
        <v>-80.72</v>
      </c>
      <c r="E241" s="602">
        <v>2011</v>
      </c>
      <c r="F241" s="602">
        <v>11</v>
      </c>
      <c r="G241" s="602">
        <v>2</v>
      </c>
      <c r="H241" s="598">
        <v>11.9</v>
      </c>
      <c r="I241" s="598">
        <v>40</v>
      </c>
      <c r="J241" s="598">
        <v>4.7</v>
      </c>
      <c r="K241" s="599">
        <v>3</v>
      </c>
      <c r="L241" s="598">
        <v>2</v>
      </c>
      <c r="M241" s="593">
        <v>1</v>
      </c>
      <c r="N241" s="522"/>
    </row>
    <row r="242" spans="1:14" s="523" customFormat="1" ht="15">
      <c r="A242" s="522"/>
      <c r="B242" s="591" t="s">
        <v>2145</v>
      </c>
      <c r="C242" s="598">
        <v>34.01</v>
      </c>
      <c r="D242" s="598">
        <v>-80.72</v>
      </c>
      <c r="E242" s="598">
        <v>2011</v>
      </c>
      <c r="F242" s="603" t="s">
        <v>2148</v>
      </c>
      <c r="G242" s="604" t="s">
        <v>2150</v>
      </c>
      <c r="H242" s="598">
        <v>10.199999999999999</v>
      </c>
      <c r="I242" s="598">
        <v>53.5</v>
      </c>
      <c r="J242" s="598">
        <v>6.3</v>
      </c>
      <c r="K242" s="599">
        <v>3</v>
      </c>
      <c r="L242" s="598">
        <v>2</v>
      </c>
      <c r="M242" s="593">
        <v>2</v>
      </c>
      <c r="N242" s="522"/>
    </row>
    <row r="243" spans="1:14" s="523" customFormat="1" ht="15">
      <c r="A243" s="522"/>
      <c r="B243" s="591" t="s">
        <v>2103</v>
      </c>
      <c r="C243" s="592">
        <v>-36</v>
      </c>
      <c r="D243" s="592">
        <v>148</v>
      </c>
      <c r="E243" s="593" t="s">
        <v>273</v>
      </c>
      <c r="F243" s="593" t="s">
        <v>273</v>
      </c>
      <c r="G243" s="593" t="s">
        <v>273</v>
      </c>
      <c r="H243" s="595">
        <v>79</v>
      </c>
      <c r="I243" s="593">
        <v>84</v>
      </c>
      <c r="J243" s="595">
        <v>66.599999999999994</v>
      </c>
      <c r="K243" s="592">
        <v>3</v>
      </c>
      <c r="L243" s="593">
        <v>4</v>
      </c>
      <c r="M243" s="593">
        <v>3</v>
      </c>
      <c r="N243" s="522"/>
    </row>
    <row r="244" spans="1:14" s="523" customFormat="1" ht="15">
      <c r="A244" s="522"/>
      <c r="B244" s="591" t="s">
        <v>1989</v>
      </c>
      <c r="C244" s="592">
        <v>-33.68</v>
      </c>
      <c r="D244" s="592">
        <v>116.25</v>
      </c>
      <c r="E244" s="593">
        <v>2007</v>
      </c>
      <c r="F244" s="593" t="s">
        <v>1046</v>
      </c>
      <c r="G244" s="593" t="s">
        <v>1046</v>
      </c>
      <c r="H244" s="595">
        <v>48</v>
      </c>
      <c r="I244" s="593">
        <v>76</v>
      </c>
      <c r="J244" s="593">
        <v>28</v>
      </c>
      <c r="K244" s="593">
        <v>3</v>
      </c>
      <c r="L244" s="593">
        <v>4</v>
      </c>
      <c r="M244" s="593">
        <v>3</v>
      </c>
      <c r="N244" s="522"/>
    </row>
    <row r="245" spans="1:14" s="523" customFormat="1" ht="15">
      <c r="A245" s="522"/>
      <c r="B245" s="591" t="s">
        <v>1989</v>
      </c>
      <c r="C245" s="592">
        <v>-34.200000000000003</v>
      </c>
      <c r="D245" s="592">
        <v>116.34</v>
      </c>
      <c r="E245" s="593">
        <v>2007</v>
      </c>
      <c r="F245" s="593" t="s">
        <v>1046</v>
      </c>
      <c r="G245" s="593" t="s">
        <v>1046</v>
      </c>
      <c r="H245" s="595">
        <v>183</v>
      </c>
      <c r="I245" s="593">
        <v>46</v>
      </c>
      <c r="J245" s="593">
        <v>58</v>
      </c>
      <c r="K245" s="593">
        <v>3</v>
      </c>
      <c r="L245" s="593">
        <v>4</v>
      </c>
      <c r="M245" s="593">
        <v>3</v>
      </c>
      <c r="N245" s="522"/>
    </row>
    <row r="246" spans="1:14" s="523" customFormat="1" ht="15">
      <c r="A246" s="522"/>
      <c r="B246" s="591" t="s">
        <v>1989</v>
      </c>
      <c r="C246" s="592">
        <v>-33.909999999999997</v>
      </c>
      <c r="D246" s="592">
        <v>116.16</v>
      </c>
      <c r="E246" s="593">
        <v>2008</v>
      </c>
      <c r="F246" s="593" t="s">
        <v>1046</v>
      </c>
      <c r="G246" s="593" t="s">
        <v>1046</v>
      </c>
      <c r="H246" s="595">
        <v>101</v>
      </c>
      <c r="I246" s="593">
        <v>68</v>
      </c>
      <c r="J246" s="593">
        <v>53</v>
      </c>
      <c r="K246" s="593">
        <v>3</v>
      </c>
      <c r="L246" s="593">
        <v>4</v>
      </c>
      <c r="M246" s="593">
        <v>3</v>
      </c>
      <c r="N246" s="522"/>
    </row>
    <row r="247" spans="1:14" s="523" customFormat="1" ht="15">
      <c r="A247" s="522"/>
      <c r="B247" s="591" t="s">
        <v>1989</v>
      </c>
      <c r="C247" s="592">
        <v>-37.090000000000003</v>
      </c>
      <c r="D247" s="592">
        <v>145.08000000000001</v>
      </c>
      <c r="E247" s="593" t="s">
        <v>1389</v>
      </c>
      <c r="F247" s="593" t="s">
        <v>1046</v>
      </c>
      <c r="G247" s="593" t="s">
        <v>1046</v>
      </c>
      <c r="H247" s="595">
        <v>60</v>
      </c>
      <c r="I247" s="593">
        <v>60.5</v>
      </c>
      <c r="J247" s="593">
        <v>27</v>
      </c>
      <c r="K247" s="593">
        <v>3</v>
      </c>
      <c r="L247" s="593">
        <v>4</v>
      </c>
      <c r="M247" s="593">
        <v>3</v>
      </c>
      <c r="N247" s="522"/>
    </row>
    <row r="248" spans="1:14" s="523" customFormat="1" ht="15">
      <c r="A248" s="522"/>
      <c r="B248" s="591" t="s">
        <v>1990</v>
      </c>
      <c r="C248" s="592">
        <v>-33.93</v>
      </c>
      <c r="D248" s="592">
        <v>115.46</v>
      </c>
      <c r="E248" s="593">
        <v>1983</v>
      </c>
      <c r="F248" s="593" t="s">
        <v>1046</v>
      </c>
      <c r="G248" s="593" t="s">
        <v>1046</v>
      </c>
      <c r="H248" s="595">
        <v>70</v>
      </c>
      <c r="I248" s="593">
        <v>78</v>
      </c>
      <c r="J248" s="593">
        <v>43</v>
      </c>
      <c r="K248" s="593">
        <v>3</v>
      </c>
      <c r="L248" s="593">
        <v>4</v>
      </c>
      <c r="M248" s="593">
        <v>3</v>
      </c>
      <c r="N248" s="522"/>
    </row>
    <row r="249" spans="1:14" s="523" customFormat="1" ht="15">
      <c r="A249" s="522"/>
      <c r="B249" s="591" t="s">
        <v>1990</v>
      </c>
      <c r="C249" s="592">
        <v>-43.22</v>
      </c>
      <c r="D249" s="592">
        <v>146.54</v>
      </c>
      <c r="E249" s="593">
        <v>2000</v>
      </c>
      <c r="F249" s="593" t="s">
        <v>1046</v>
      </c>
      <c r="G249" s="593" t="s">
        <v>1046</v>
      </c>
      <c r="H249" s="595">
        <v>644</v>
      </c>
      <c r="I249" s="593">
        <v>62</v>
      </c>
      <c r="J249" s="593">
        <v>299</v>
      </c>
      <c r="K249" s="593">
        <v>3</v>
      </c>
      <c r="L249" s="593">
        <v>4</v>
      </c>
      <c r="M249" s="593">
        <v>3</v>
      </c>
      <c r="N249" s="522"/>
    </row>
    <row r="250" spans="1:14" s="523" customFormat="1" ht="15">
      <c r="A250" s="522"/>
      <c r="B250" s="591" t="s">
        <v>1990</v>
      </c>
      <c r="C250" s="592">
        <v>-35.770000000000003</v>
      </c>
      <c r="D250" s="592">
        <v>148.03</v>
      </c>
      <c r="E250" s="593">
        <v>2004</v>
      </c>
      <c r="F250" s="593" t="s">
        <v>1046</v>
      </c>
      <c r="G250" s="593" t="s">
        <v>1046</v>
      </c>
      <c r="H250" s="595">
        <v>99</v>
      </c>
      <c r="I250" s="593">
        <v>70</v>
      </c>
      <c r="J250" s="593">
        <v>47</v>
      </c>
      <c r="K250" s="593">
        <v>3</v>
      </c>
      <c r="L250" s="593">
        <v>4</v>
      </c>
      <c r="M250" s="593">
        <v>3</v>
      </c>
      <c r="N250" s="522"/>
    </row>
    <row r="251" spans="1:14" s="523" customFormat="1" ht="15">
      <c r="A251" s="522"/>
      <c r="B251" s="591" t="s">
        <v>1991</v>
      </c>
      <c r="C251" s="592">
        <v>19.5</v>
      </c>
      <c r="D251" s="592">
        <v>-99.5</v>
      </c>
      <c r="E251" s="593">
        <v>2006</v>
      </c>
      <c r="F251" s="593">
        <v>3</v>
      </c>
      <c r="G251" s="595">
        <v>6</v>
      </c>
      <c r="H251" s="593" t="s">
        <v>1046</v>
      </c>
      <c r="I251" s="593" t="s">
        <v>1046</v>
      </c>
      <c r="J251" s="597">
        <v>7.9</v>
      </c>
      <c r="K251" s="593">
        <v>3</v>
      </c>
      <c r="L251" s="593">
        <v>4</v>
      </c>
      <c r="M251" s="593">
        <v>1</v>
      </c>
      <c r="N251" s="522"/>
    </row>
    <row r="252" spans="1:14" s="523" customFormat="1" ht="15">
      <c r="A252" s="522"/>
      <c r="B252" s="591" t="s">
        <v>1991</v>
      </c>
      <c r="C252" s="592">
        <v>19.5</v>
      </c>
      <c r="D252" s="592">
        <v>-99.5</v>
      </c>
      <c r="E252" s="593">
        <v>2006</v>
      </c>
      <c r="F252" s="593">
        <v>3</v>
      </c>
      <c r="G252" s="595">
        <v>6</v>
      </c>
      <c r="H252" s="593" t="s">
        <v>1046</v>
      </c>
      <c r="I252" s="593" t="s">
        <v>1046</v>
      </c>
      <c r="J252" s="597">
        <v>23</v>
      </c>
      <c r="K252" s="593">
        <v>3</v>
      </c>
      <c r="L252" s="593">
        <v>4</v>
      </c>
      <c r="M252" s="593">
        <v>1</v>
      </c>
      <c r="N252" s="522"/>
    </row>
    <row r="253" spans="1:14" s="523" customFormat="1" ht="15">
      <c r="A253" s="522"/>
      <c r="B253" s="591" t="s">
        <v>1991</v>
      </c>
      <c r="C253" s="592">
        <v>19.5</v>
      </c>
      <c r="D253" s="592">
        <v>-99.5</v>
      </c>
      <c r="E253" s="593">
        <v>2006</v>
      </c>
      <c r="F253" s="593">
        <v>3</v>
      </c>
      <c r="G253" s="595">
        <v>17</v>
      </c>
      <c r="H253" s="593" t="s">
        <v>1046</v>
      </c>
      <c r="I253" s="593" t="s">
        <v>1046</v>
      </c>
      <c r="J253" s="597">
        <v>6.5</v>
      </c>
      <c r="K253" s="593">
        <v>3</v>
      </c>
      <c r="L253" s="593">
        <v>4</v>
      </c>
      <c r="M253" s="593">
        <v>1</v>
      </c>
      <c r="N253" s="522"/>
    </row>
    <row r="254" spans="1:14" s="523" customFormat="1" ht="15">
      <c r="A254" s="522"/>
      <c r="B254" s="591" t="s">
        <v>1991</v>
      </c>
      <c r="C254" s="592">
        <v>19.5</v>
      </c>
      <c r="D254" s="592">
        <v>-99.5</v>
      </c>
      <c r="E254" s="593">
        <v>2006</v>
      </c>
      <c r="F254" s="593">
        <v>3</v>
      </c>
      <c r="G254" s="595">
        <v>18</v>
      </c>
      <c r="H254" s="593" t="s">
        <v>1046</v>
      </c>
      <c r="I254" s="593" t="s">
        <v>1046</v>
      </c>
      <c r="J254" s="597">
        <v>32.1</v>
      </c>
      <c r="K254" s="593">
        <v>3</v>
      </c>
      <c r="L254" s="593">
        <v>4</v>
      </c>
      <c r="M254" s="593">
        <v>1</v>
      </c>
      <c r="N254" s="522"/>
    </row>
    <row r="255" spans="1:14" s="523" customFormat="1" ht="15">
      <c r="A255" s="522"/>
      <c r="B255" s="591" t="s">
        <v>1991</v>
      </c>
      <c r="C255" s="592">
        <v>19.5</v>
      </c>
      <c r="D255" s="592">
        <v>-99.5</v>
      </c>
      <c r="E255" s="593">
        <v>2006</v>
      </c>
      <c r="F255" s="593">
        <v>3</v>
      </c>
      <c r="G255" s="596" t="s">
        <v>1992</v>
      </c>
      <c r="H255" s="593" t="s">
        <v>1046</v>
      </c>
      <c r="I255" s="593" t="s">
        <v>1046</v>
      </c>
      <c r="J255" s="597">
        <v>17.399999999999999</v>
      </c>
      <c r="K255" s="593">
        <v>3</v>
      </c>
      <c r="L255" s="593">
        <v>4</v>
      </c>
      <c r="M255" s="593">
        <v>2</v>
      </c>
      <c r="N255" s="522"/>
    </row>
    <row r="256" spans="1:14" s="523" customFormat="1" ht="15">
      <c r="A256" s="522"/>
      <c r="B256" s="461" t="s">
        <v>1993</v>
      </c>
      <c r="C256" s="458">
        <v>-4.3</v>
      </c>
      <c r="D256" s="458">
        <v>-49.03</v>
      </c>
      <c r="E256" s="460">
        <v>1990</v>
      </c>
      <c r="F256" s="462">
        <v>9</v>
      </c>
      <c r="G256" s="460" t="s">
        <v>1046</v>
      </c>
      <c r="H256" s="462">
        <v>121.4</v>
      </c>
      <c r="I256" s="460">
        <v>42.9</v>
      </c>
      <c r="J256" s="460">
        <v>52</v>
      </c>
      <c r="K256" s="460">
        <v>2</v>
      </c>
      <c r="L256" s="460">
        <v>4</v>
      </c>
      <c r="M256" s="460">
        <v>1</v>
      </c>
      <c r="N256" s="522"/>
    </row>
    <row r="257" spans="1:14" s="523" customFormat="1" ht="15">
      <c r="A257" s="522"/>
      <c r="B257" s="461" t="s">
        <v>1993</v>
      </c>
      <c r="C257" s="458">
        <v>-4.3</v>
      </c>
      <c r="D257" s="458">
        <v>-49.03</v>
      </c>
      <c r="E257" s="460">
        <v>1990</v>
      </c>
      <c r="F257" s="462">
        <v>9</v>
      </c>
      <c r="G257" s="460" t="s">
        <v>1046</v>
      </c>
      <c r="H257" s="462">
        <v>292.39999999999998</v>
      </c>
      <c r="I257" s="460">
        <v>52.6</v>
      </c>
      <c r="J257" s="460">
        <v>153.69999999999999</v>
      </c>
      <c r="K257" s="460">
        <v>2</v>
      </c>
      <c r="L257" s="460">
        <v>4</v>
      </c>
      <c r="M257" s="460">
        <v>1</v>
      </c>
      <c r="N257" s="522"/>
    </row>
    <row r="258" spans="1:14" s="523" customFormat="1" ht="15">
      <c r="A258" s="522"/>
      <c r="B258" s="461" t="s">
        <v>1993</v>
      </c>
      <c r="C258" s="458">
        <v>-4.3</v>
      </c>
      <c r="D258" s="458">
        <v>-49.03</v>
      </c>
      <c r="E258" s="460">
        <v>1990</v>
      </c>
      <c r="F258" s="462">
        <v>9</v>
      </c>
      <c r="G258" s="460" t="s">
        <v>1046</v>
      </c>
      <c r="H258" s="462">
        <v>206.9</v>
      </c>
      <c r="I258" s="460">
        <v>47.7</v>
      </c>
      <c r="J258" s="460">
        <v>102.9</v>
      </c>
      <c r="K258" s="460">
        <v>2</v>
      </c>
      <c r="L258" s="460">
        <v>4</v>
      </c>
      <c r="M258" s="460">
        <v>2</v>
      </c>
      <c r="N258" s="522"/>
    </row>
    <row r="259" spans="1:14" s="523" customFormat="1" ht="15">
      <c r="A259" s="522"/>
      <c r="B259" s="461" t="s">
        <v>1994</v>
      </c>
      <c r="C259" s="458">
        <v>-2.29</v>
      </c>
      <c r="D259" s="458">
        <v>-60.09</v>
      </c>
      <c r="E259" s="460">
        <v>1984</v>
      </c>
      <c r="F259" s="460">
        <v>10</v>
      </c>
      <c r="G259" s="460">
        <v>23</v>
      </c>
      <c r="H259" s="462">
        <v>264.60000000000002</v>
      </c>
      <c r="I259" s="460">
        <v>29.3</v>
      </c>
      <c r="J259" s="460">
        <v>77.400000000000006</v>
      </c>
      <c r="K259" s="460">
        <v>2</v>
      </c>
      <c r="L259" s="460">
        <v>4</v>
      </c>
      <c r="M259" s="460">
        <v>3</v>
      </c>
      <c r="N259" s="522"/>
    </row>
    <row r="260" spans="1:14" s="523" customFormat="1" ht="15">
      <c r="A260" s="522"/>
      <c r="B260" s="461" t="s">
        <v>1995</v>
      </c>
      <c r="C260" s="458">
        <v>-7.98</v>
      </c>
      <c r="D260" s="458">
        <v>-38.32</v>
      </c>
      <c r="E260" s="460">
        <v>1989</v>
      </c>
      <c r="F260" s="460">
        <v>9</v>
      </c>
      <c r="G260" s="460">
        <v>19</v>
      </c>
      <c r="H260" s="462">
        <v>73.8</v>
      </c>
      <c r="I260" s="460">
        <v>77.599999999999994</v>
      </c>
      <c r="J260" s="460">
        <v>57.2</v>
      </c>
      <c r="K260" s="460">
        <v>2</v>
      </c>
      <c r="L260" s="460">
        <v>4</v>
      </c>
      <c r="M260" s="460">
        <v>1</v>
      </c>
      <c r="N260" s="522"/>
    </row>
    <row r="261" spans="1:14" s="523" customFormat="1" ht="15">
      <c r="A261" s="522"/>
      <c r="B261" s="461" t="s">
        <v>1995</v>
      </c>
      <c r="C261" s="458">
        <v>-7.98</v>
      </c>
      <c r="D261" s="458">
        <v>-38.32</v>
      </c>
      <c r="E261" s="460">
        <v>1989</v>
      </c>
      <c r="F261" s="460">
        <v>9</v>
      </c>
      <c r="G261" s="460">
        <v>26</v>
      </c>
      <c r="H261" s="462">
        <v>74</v>
      </c>
      <c r="I261" s="460">
        <v>88.5</v>
      </c>
      <c r="J261" s="460">
        <v>65.7</v>
      </c>
      <c r="K261" s="460">
        <v>2</v>
      </c>
      <c r="L261" s="460">
        <v>4</v>
      </c>
      <c r="M261" s="460">
        <v>1</v>
      </c>
      <c r="N261" s="522"/>
    </row>
    <row r="262" spans="1:14" s="523" customFormat="1" ht="15">
      <c r="A262" s="522"/>
      <c r="B262" s="461" t="s">
        <v>1995</v>
      </c>
      <c r="C262" s="458">
        <v>-7.98</v>
      </c>
      <c r="D262" s="458">
        <v>-38.32</v>
      </c>
      <c r="E262" s="460">
        <v>1989</v>
      </c>
      <c r="F262" s="460">
        <v>10</v>
      </c>
      <c r="G262" s="460">
        <v>4</v>
      </c>
      <c r="H262" s="462">
        <v>73.7</v>
      </c>
      <c r="I262" s="460">
        <v>94.6</v>
      </c>
      <c r="J262" s="460">
        <v>69.7</v>
      </c>
      <c r="K262" s="460">
        <v>2</v>
      </c>
      <c r="L262" s="460">
        <v>4</v>
      </c>
      <c r="M262" s="460">
        <v>1</v>
      </c>
      <c r="N262" s="522"/>
    </row>
    <row r="263" spans="1:14" s="523" customFormat="1" ht="15">
      <c r="A263" s="522"/>
      <c r="B263" s="461" t="s">
        <v>1995</v>
      </c>
      <c r="C263" s="458">
        <v>-7.98</v>
      </c>
      <c r="D263" s="458">
        <v>-38.32</v>
      </c>
      <c r="E263" s="462">
        <v>1989</v>
      </c>
      <c r="F263" s="459" t="s">
        <v>2012</v>
      </c>
      <c r="G263" s="459" t="s">
        <v>2013</v>
      </c>
      <c r="H263" s="462">
        <v>73.8</v>
      </c>
      <c r="I263" s="460">
        <v>86.9</v>
      </c>
      <c r="J263" s="460">
        <v>64.2</v>
      </c>
      <c r="K263" s="460">
        <v>2</v>
      </c>
      <c r="L263" s="460">
        <v>4</v>
      </c>
      <c r="M263" s="460">
        <v>2</v>
      </c>
      <c r="N263" s="522"/>
    </row>
    <row r="264" spans="1:14" s="523" customFormat="1" ht="15">
      <c r="A264" s="522"/>
      <c r="B264" s="457" t="s">
        <v>2014</v>
      </c>
      <c r="C264" s="477">
        <v>-4.5</v>
      </c>
      <c r="D264" s="477">
        <v>-49.01</v>
      </c>
      <c r="E264" s="460">
        <v>1990</v>
      </c>
      <c r="F264" s="460">
        <v>9</v>
      </c>
      <c r="G264" s="460">
        <v>9</v>
      </c>
      <c r="H264" s="460">
        <v>292</v>
      </c>
      <c r="I264" s="460">
        <v>52</v>
      </c>
      <c r="J264" s="460">
        <v>152</v>
      </c>
      <c r="K264" s="460">
        <v>2</v>
      </c>
      <c r="L264" s="460">
        <v>4</v>
      </c>
      <c r="M264" s="460">
        <v>1</v>
      </c>
      <c r="N264" s="522"/>
    </row>
    <row r="265" spans="1:14" s="523" customFormat="1" ht="15">
      <c r="A265" s="522"/>
      <c r="B265" s="457" t="s">
        <v>2014</v>
      </c>
      <c r="C265" s="477">
        <v>-4.5</v>
      </c>
      <c r="D265" s="477">
        <v>-49.01</v>
      </c>
      <c r="E265" s="460">
        <v>1991</v>
      </c>
      <c r="F265" s="460">
        <v>9</v>
      </c>
      <c r="G265" s="460">
        <v>4</v>
      </c>
      <c r="H265" s="460">
        <v>435</v>
      </c>
      <c r="I265" s="460">
        <v>52</v>
      </c>
      <c r="J265" s="460">
        <v>226</v>
      </c>
      <c r="K265" s="460">
        <v>2</v>
      </c>
      <c r="L265" s="460">
        <v>4</v>
      </c>
      <c r="M265" s="460">
        <v>1</v>
      </c>
      <c r="N265" s="522"/>
    </row>
    <row r="266" spans="1:14" s="523" customFormat="1" ht="15">
      <c r="A266" s="522"/>
      <c r="B266" s="457" t="s">
        <v>2014</v>
      </c>
      <c r="C266" s="477">
        <v>-4.5</v>
      </c>
      <c r="D266" s="477">
        <v>-49.01</v>
      </c>
      <c r="E266" s="460" t="s">
        <v>2015</v>
      </c>
      <c r="F266" s="460">
        <v>9</v>
      </c>
      <c r="G266" s="459" t="s">
        <v>2016</v>
      </c>
      <c r="H266" s="460">
        <v>363.5</v>
      </c>
      <c r="I266" s="460">
        <v>52</v>
      </c>
      <c r="J266" s="460">
        <v>189</v>
      </c>
      <c r="K266" s="460">
        <v>2</v>
      </c>
      <c r="L266" s="460">
        <v>4</v>
      </c>
      <c r="M266" s="460">
        <v>2</v>
      </c>
      <c r="N266" s="522"/>
    </row>
    <row r="267" spans="1:14" s="523" customFormat="1" ht="15">
      <c r="A267" s="522"/>
      <c r="B267" s="457" t="s">
        <v>2014</v>
      </c>
      <c r="C267" s="458">
        <v>-15.85</v>
      </c>
      <c r="D267" s="458">
        <v>-60.52</v>
      </c>
      <c r="E267" s="460">
        <v>1992</v>
      </c>
      <c r="F267" s="460">
        <v>9</v>
      </c>
      <c r="G267" s="460">
        <v>5</v>
      </c>
      <c r="H267" s="462">
        <v>290</v>
      </c>
      <c r="I267" s="460">
        <v>43</v>
      </c>
      <c r="J267" s="460">
        <v>125</v>
      </c>
      <c r="K267" s="460">
        <v>2</v>
      </c>
      <c r="L267" s="460">
        <v>4</v>
      </c>
      <c r="M267" s="460">
        <v>1</v>
      </c>
      <c r="N267" s="522"/>
    </row>
    <row r="268" spans="1:14" s="523" customFormat="1" ht="15">
      <c r="A268" s="522"/>
      <c r="B268" s="457" t="s">
        <v>2014</v>
      </c>
      <c r="C268" s="458">
        <v>-15.85</v>
      </c>
      <c r="D268" s="458">
        <v>-60.52</v>
      </c>
      <c r="E268" s="460">
        <v>1992</v>
      </c>
      <c r="F268" s="460">
        <v>9</v>
      </c>
      <c r="G268" s="460">
        <v>23</v>
      </c>
      <c r="H268" s="462">
        <v>361</v>
      </c>
      <c r="I268" s="460">
        <v>57</v>
      </c>
      <c r="J268" s="460">
        <v>206</v>
      </c>
      <c r="K268" s="460">
        <v>2</v>
      </c>
      <c r="L268" s="460">
        <v>4</v>
      </c>
      <c r="M268" s="460">
        <v>1</v>
      </c>
      <c r="N268" s="522"/>
    </row>
    <row r="269" spans="1:14" s="523" customFormat="1" ht="15">
      <c r="A269" s="522"/>
      <c r="B269" s="457" t="s">
        <v>2014</v>
      </c>
      <c r="C269" s="458">
        <v>-15.85</v>
      </c>
      <c r="D269" s="458">
        <v>-60.52</v>
      </c>
      <c r="E269" s="460">
        <v>1992</v>
      </c>
      <c r="F269" s="460">
        <v>9</v>
      </c>
      <c r="G269" s="459" t="s">
        <v>1836</v>
      </c>
      <c r="H269" s="462">
        <v>325.5</v>
      </c>
      <c r="I269" s="460">
        <v>50</v>
      </c>
      <c r="J269" s="460">
        <v>165.5</v>
      </c>
      <c r="K269" s="460">
        <v>2</v>
      </c>
      <c r="L269" s="460">
        <v>4</v>
      </c>
      <c r="M269" s="460">
        <v>2</v>
      </c>
      <c r="N269" s="522"/>
    </row>
    <row r="270" spans="1:14" s="523" customFormat="1" ht="15">
      <c r="A270" s="522"/>
      <c r="B270" s="461" t="s">
        <v>1837</v>
      </c>
      <c r="C270" s="458">
        <v>-2.61</v>
      </c>
      <c r="D270" s="458">
        <v>-60.17</v>
      </c>
      <c r="E270" s="460">
        <v>1991</v>
      </c>
      <c r="F270" s="460">
        <v>11</v>
      </c>
      <c r="G270" s="460">
        <v>3</v>
      </c>
      <c r="H270" s="462">
        <v>424.9</v>
      </c>
      <c r="I270" s="460">
        <v>25.1</v>
      </c>
      <c r="J270" s="460">
        <v>106.6</v>
      </c>
      <c r="K270" s="460">
        <v>2</v>
      </c>
      <c r="L270" s="460">
        <v>4</v>
      </c>
      <c r="M270" s="460">
        <v>3</v>
      </c>
      <c r="N270" s="522"/>
    </row>
    <row r="271" spans="1:14" s="523" customFormat="1" ht="15">
      <c r="A271" s="522"/>
      <c r="B271" s="461" t="s">
        <v>1838</v>
      </c>
      <c r="C271" s="458">
        <v>-9.11</v>
      </c>
      <c r="D271" s="458">
        <v>-63.16</v>
      </c>
      <c r="E271" s="460">
        <v>1995</v>
      </c>
      <c r="F271" s="460">
        <v>9</v>
      </c>
      <c r="G271" s="460">
        <v>4</v>
      </c>
      <c r="H271" s="462">
        <v>354.8</v>
      </c>
      <c r="I271" s="460">
        <v>47.2</v>
      </c>
      <c r="J271" s="460">
        <v>167.3</v>
      </c>
      <c r="K271" s="460">
        <v>2</v>
      </c>
      <c r="L271" s="460">
        <v>4</v>
      </c>
      <c r="M271" s="460">
        <v>1</v>
      </c>
      <c r="N271" s="522"/>
    </row>
    <row r="272" spans="1:14" s="523" customFormat="1" ht="15">
      <c r="A272" s="522"/>
      <c r="B272" s="461" t="s">
        <v>1838</v>
      </c>
      <c r="C272" s="458">
        <v>-9.11</v>
      </c>
      <c r="D272" s="458">
        <v>-63.16</v>
      </c>
      <c r="E272" s="460">
        <v>1995</v>
      </c>
      <c r="F272" s="460">
        <v>9</v>
      </c>
      <c r="G272" s="460">
        <v>4</v>
      </c>
      <c r="H272" s="462">
        <v>398.8</v>
      </c>
      <c r="I272" s="460">
        <v>53.6</v>
      </c>
      <c r="J272" s="460">
        <v>213.6</v>
      </c>
      <c r="K272" s="460">
        <v>2</v>
      </c>
      <c r="L272" s="460">
        <v>4</v>
      </c>
      <c r="M272" s="460">
        <v>1</v>
      </c>
      <c r="N272" s="522"/>
    </row>
    <row r="273" spans="1:14" s="523" customFormat="1" ht="15">
      <c r="A273" s="522"/>
      <c r="B273" s="461" t="s">
        <v>1838</v>
      </c>
      <c r="C273" s="458">
        <v>-9.11</v>
      </c>
      <c r="D273" s="458">
        <v>-63.16</v>
      </c>
      <c r="E273" s="460">
        <v>1995</v>
      </c>
      <c r="F273" s="460">
        <v>9</v>
      </c>
      <c r="G273" s="459" t="s">
        <v>1839</v>
      </c>
      <c r="H273" s="478">
        <v>376.8</v>
      </c>
      <c r="I273" s="460">
        <v>50.4</v>
      </c>
      <c r="J273" s="460">
        <v>190.5</v>
      </c>
      <c r="K273" s="460">
        <v>2</v>
      </c>
      <c r="L273" s="460">
        <v>4</v>
      </c>
      <c r="M273" s="460">
        <v>2</v>
      </c>
      <c r="N273" s="522"/>
    </row>
    <row r="274" spans="1:14" s="523" customFormat="1" ht="15">
      <c r="A274" s="522"/>
      <c r="B274" s="461" t="s">
        <v>1969</v>
      </c>
      <c r="C274" s="458">
        <v>-2.61</v>
      </c>
      <c r="D274" s="458">
        <v>-60.17</v>
      </c>
      <c r="E274" s="460">
        <v>1995</v>
      </c>
      <c r="F274" s="460">
        <v>10</v>
      </c>
      <c r="G274" s="460" t="s">
        <v>1046</v>
      </c>
      <c r="H274" s="462">
        <v>401.5</v>
      </c>
      <c r="I274" s="460">
        <v>20.47</v>
      </c>
      <c r="J274" s="460">
        <v>82.2</v>
      </c>
      <c r="K274" s="460">
        <v>2</v>
      </c>
      <c r="L274" s="460">
        <v>4</v>
      </c>
      <c r="M274" s="460">
        <v>3</v>
      </c>
      <c r="N274" s="522"/>
    </row>
    <row r="275" spans="1:14" s="523" customFormat="1" ht="15">
      <c r="A275" s="522"/>
      <c r="B275" s="461" t="s">
        <v>1970</v>
      </c>
      <c r="C275" s="458">
        <v>-10.16</v>
      </c>
      <c r="D275" s="458">
        <v>-60.81</v>
      </c>
      <c r="E275" s="460">
        <v>1995</v>
      </c>
      <c r="F275" s="460">
        <v>9</v>
      </c>
      <c r="G275" s="460">
        <v>10</v>
      </c>
      <c r="H275" s="462">
        <v>306.5</v>
      </c>
      <c r="I275" s="460">
        <v>35.9</v>
      </c>
      <c r="J275" s="460">
        <v>109.9</v>
      </c>
      <c r="K275" s="460">
        <v>2</v>
      </c>
      <c r="L275" s="460">
        <v>4</v>
      </c>
      <c r="M275" s="460">
        <v>3</v>
      </c>
      <c r="N275" s="522"/>
    </row>
    <row r="276" spans="1:14" s="523" customFormat="1" ht="15">
      <c r="A276" s="522"/>
      <c r="B276" s="461" t="s">
        <v>1971</v>
      </c>
      <c r="C276" s="458">
        <v>-3.37</v>
      </c>
      <c r="D276" s="458">
        <v>-52.62</v>
      </c>
      <c r="E276" s="460" t="s">
        <v>1046</v>
      </c>
      <c r="F276" s="460" t="s">
        <v>1046</v>
      </c>
      <c r="G276" s="460" t="s">
        <v>1046</v>
      </c>
      <c r="H276" s="462">
        <v>262.5</v>
      </c>
      <c r="I276" s="460">
        <v>42</v>
      </c>
      <c r="J276" s="460">
        <v>110.3</v>
      </c>
      <c r="K276" s="460">
        <v>2</v>
      </c>
      <c r="L276" s="460">
        <v>4</v>
      </c>
      <c r="M276" s="460">
        <v>3</v>
      </c>
      <c r="N276" s="522"/>
    </row>
    <row r="277" spans="1:14" s="523" customFormat="1" ht="15">
      <c r="A277" s="522"/>
      <c r="B277" s="479" t="s">
        <v>1972</v>
      </c>
      <c r="C277" s="458">
        <v>-2.5</v>
      </c>
      <c r="D277" s="458">
        <v>-48.12</v>
      </c>
      <c r="E277" s="460">
        <v>1994</v>
      </c>
      <c r="F277" s="460">
        <v>10</v>
      </c>
      <c r="G277" s="460">
        <v>14</v>
      </c>
      <c r="H277" s="462">
        <v>214.2</v>
      </c>
      <c r="I277" s="460">
        <v>20.100000000000001</v>
      </c>
      <c r="J277" s="460">
        <v>43.1</v>
      </c>
      <c r="K277" s="460">
        <v>2</v>
      </c>
      <c r="L277" s="460">
        <v>4</v>
      </c>
      <c r="M277" s="460">
        <v>3</v>
      </c>
      <c r="N277" s="522"/>
    </row>
    <row r="278" spans="1:14" s="523" customFormat="1" ht="15">
      <c r="A278" s="522"/>
      <c r="B278" s="479" t="s">
        <v>1973</v>
      </c>
      <c r="C278" s="458">
        <v>-5.35</v>
      </c>
      <c r="D278" s="458">
        <v>-49.15</v>
      </c>
      <c r="E278" s="460">
        <v>1990</v>
      </c>
      <c r="F278" s="460">
        <v>9</v>
      </c>
      <c r="G278" s="460">
        <v>13</v>
      </c>
      <c r="H278" s="462">
        <v>121.4</v>
      </c>
      <c r="I278" s="460">
        <v>42.5</v>
      </c>
      <c r="J278" s="460">
        <v>51.6</v>
      </c>
      <c r="K278" s="460">
        <v>2</v>
      </c>
      <c r="L278" s="460">
        <v>4</v>
      </c>
      <c r="M278" s="460">
        <v>3</v>
      </c>
      <c r="N278" s="522"/>
    </row>
    <row r="279" spans="1:14" s="523" customFormat="1" ht="15">
      <c r="A279" s="522"/>
      <c r="B279" s="479" t="s">
        <v>1973</v>
      </c>
      <c r="C279" s="458">
        <v>-4.3</v>
      </c>
      <c r="D279" s="458">
        <v>-49.03</v>
      </c>
      <c r="E279" s="460">
        <v>1991</v>
      </c>
      <c r="F279" s="460">
        <v>9</v>
      </c>
      <c r="G279" s="460">
        <v>21</v>
      </c>
      <c r="H279" s="462">
        <v>63.8</v>
      </c>
      <c r="I279" s="460">
        <v>86.2</v>
      </c>
      <c r="J279" s="460">
        <v>55</v>
      </c>
      <c r="K279" s="460">
        <v>2</v>
      </c>
      <c r="L279" s="460">
        <v>4</v>
      </c>
      <c r="M279" s="460">
        <v>3</v>
      </c>
      <c r="N279" s="522"/>
    </row>
    <row r="280" spans="1:14" s="523" customFormat="1" ht="15">
      <c r="A280" s="522"/>
      <c r="B280" s="479" t="s">
        <v>1973</v>
      </c>
      <c r="C280" s="458">
        <v>-9.1999999999999993</v>
      </c>
      <c r="D280" s="458">
        <v>-60.5</v>
      </c>
      <c r="E280" s="460">
        <v>1993</v>
      </c>
      <c r="F280" s="460">
        <v>10</v>
      </c>
      <c r="G280" s="460">
        <v>2</v>
      </c>
      <c r="H280" s="462">
        <v>177.6</v>
      </c>
      <c r="I280" s="460">
        <v>52.7</v>
      </c>
      <c r="J280" s="460">
        <v>93.6</v>
      </c>
      <c r="K280" s="460">
        <v>2</v>
      </c>
      <c r="L280" s="460">
        <v>4</v>
      </c>
      <c r="M280" s="460">
        <v>1</v>
      </c>
      <c r="N280" s="522"/>
    </row>
    <row r="281" spans="1:14" s="523" customFormat="1" ht="15">
      <c r="A281" s="522"/>
      <c r="B281" s="479" t="s">
        <v>1973</v>
      </c>
      <c r="C281" s="458">
        <v>-9.1999999999999993</v>
      </c>
      <c r="D281" s="458">
        <v>-60.5</v>
      </c>
      <c r="E281" s="460">
        <v>1993</v>
      </c>
      <c r="F281" s="460">
        <v>9</v>
      </c>
      <c r="G281" s="460">
        <v>15</v>
      </c>
      <c r="H281" s="462">
        <v>103.7</v>
      </c>
      <c r="I281" s="460">
        <v>62.5</v>
      </c>
      <c r="J281" s="460">
        <v>64.8</v>
      </c>
      <c r="K281" s="460">
        <v>2</v>
      </c>
      <c r="L281" s="460">
        <v>4</v>
      </c>
      <c r="M281" s="460">
        <v>1</v>
      </c>
      <c r="N281" s="522"/>
    </row>
    <row r="282" spans="1:14" s="523" customFormat="1" ht="15">
      <c r="A282" s="522"/>
      <c r="B282" s="479" t="s">
        <v>1973</v>
      </c>
      <c r="C282" s="458">
        <v>-9.1999999999999993</v>
      </c>
      <c r="D282" s="458">
        <v>-60.5</v>
      </c>
      <c r="E282" s="460">
        <v>1992</v>
      </c>
      <c r="F282" s="460">
        <v>9</v>
      </c>
      <c r="G282" s="460">
        <v>21</v>
      </c>
      <c r="H282" s="462">
        <v>120.3</v>
      </c>
      <c r="I282" s="460">
        <v>47.3</v>
      </c>
      <c r="J282" s="460">
        <v>56.9</v>
      </c>
      <c r="K282" s="460">
        <v>2</v>
      </c>
      <c r="L282" s="460">
        <v>4</v>
      </c>
      <c r="M282" s="460">
        <v>1</v>
      </c>
      <c r="N282" s="522"/>
    </row>
    <row r="283" spans="1:14" s="523" customFormat="1" ht="15">
      <c r="A283" s="522"/>
      <c r="B283" s="479" t="s">
        <v>1973</v>
      </c>
      <c r="C283" s="458">
        <v>-9.1999999999999993</v>
      </c>
      <c r="D283" s="458">
        <v>-60.5</v>
      </c>
      <c r="E283" s="460">
        <v>1993</v>
      </c>
      <c r="F283" s="460">
        <v>9</v>
      </c>
      <c r="G283" s="460">
        <v>18</v>
      </c>
      <c r="H283" s="462">
        <v>70.900000000000006</v>
      </c>
      <c r="I283" s="460">
        <v>63.2</v>
      </c>
      <c r="J283" s="460">
        <v>44.8</v>
      </c>
      <c r="K283" s="460">
        <v>2</v>
      </c>
      <c r="L283" s="460">
        <v>4</v>
      </c>
      <c r="M283" s="460">
        <v>1</v>
      </c>
      <c r="N283" s="522"/>
    </row>
    <row r="284" spans="1:14" s="523" customFormat="1" ht="15">
      <c r="A284" s="522"/>
      <c r="B284" s="479" t="s">
        <v>1973</v>
      </c>
      <c r="C284" s="458">
        <v>-9.1999999999999993</v>
      </c>
      <c r="D284" s="458">
        <v>-60.5</v>
      </c>
      <c r="E284" s="459" t="s">
        <v>1974</v>
      </c>
      <c r="F284" s="459" t="s">
        <v>2012</v>
      </c>
      <c r="G284" s="459" t="s">
        <v>1975</v>
      </c>
      <c r="H284" s="462">
        <v>118.1</v>
      </c>
      <c r="I284" s="460">
        <v>56.4</v>
      </c>
      <c r="J284" s="460">
        <v>65</v>
      </c>
      <c r="K284" s="460">
        <v>2</v>
      </c>
      <c r="L284" s="460">
        <v>4</v>
      </c>
      <c r="M284" s="460">
        <v>2</v>
      </c>
      <c r="N284" s="522"/>
    </row>
    <row r="285" spans="1:14" s="523" customFormat="1" ht="15">
      <c r="A285" s="522"/>
      <c r="B285" s="479" t="s">
        <v>1968</v>
      </c>
      <c r="C285" s="458">
        <v>-2.34</v>
      </c>
      <c r="D285" s="458">
        <v>-60.09</v>
      </c>
      <c r="E285" s="460">
        <v>1990</v>
      </c>
      <c r="F285" s="460">
        <v>10</v>
      </c>
      <c r="G285" s="460">
        <v>19</v>
      </c>
      <c r="H285" s="462">
        <v>369.3</v>
      </c>
      <c r="I285" s="460">
        <v>30.2</v>
      </c>
      <c r="J285" s="460">
        <v>111.4</v>
      </c>
      <c r="K285" s="460">
        <v>2</v>
      </c>
      <c r="L285" s="460">
        <v>4</v>
      </c>
      <c r="M285" s="460">
        <v>3</v>
      </c>
      <c r="N285" s="522"/>
    </row>
    <row r="286" spans="1:14" s="523" customFormat="1" ht="15">
      <c r="A286" s="522"/>
      <c r="B286" s="479" t="s">
        <v>2104</v>
      </c>
      <c r="C286" s="458">
        <v>-9.52</v>
      </c>
      <c r="D286" s="458">
        <v>-56.06</v>
      </c>
      <c r="E286" s="460">
        <v>1997</v>
      </c>
      <c r="F286" s="460" t="s">
        <v>1046</v>
      </c>
      <c r="G286" s="460" t="s">
        <v>1046</v>
      </c>
      <c r="H286" s="462">
        <v>496</v>
      </c>
      <c r="I286" s="460">
        <v>22.7</v>
      </c>
      <c r="J286" s="460">
        <v>112.6</v>
      </c>
      <c r="K286" s="460">
        <v>2</v>
      </c>
      <c r="L286" s="460">
        <v>4</v>
      </c>
      <c r="M286" s="460">
        <v>1</v>
      </c>
      <c r="N286" s="522"/>
    </row>
    <row r="287" spans="1:14" s="523" customFormat="1" ht="15">
      <c r="A287" s="522"/>
      <c r="B287" s="479" t="s">
        <v>2104</v>
      </c>
      <c r="C287" s="458">
        <v>-9.52</v>
      </c>
      <c r="D287" s="458">
        <v>-56.06</v>
      </c>
      <c r="E287" s="460">
        <v>1997</v>
      </c>
      <c r="F287" s="460" t="s">
        <v>1046</v>
      </c>
      <c r="G287" s="460" t="s">
        <v>1046</v>
      </c>
      <c r="H287" s="462">
        <v>496</v>
      </c>
      <c r="I287" s="460">
        <v>19.5</v>
      </c>
      <c r="J287" s="460">
        <v>96.7</v>
      </c>
      <c r="K287" s="460">
        <v>2</v>
      </c>
      <c r="L287" s="460">
        <v>4</v>
      </c>
      <c r="M287" s="460">
        <v>1</v>
      </c>
      <c r="N287" s="522"/>
    </row>
    <row r="288" spans="1:14" s="523" customFormat="1" ht="15">
      <c r="A288" s="522"/>
      <c r="B288" s="479" t="s">
        <v>2104</v>
      </c>
      <c r="C288" s="458">
        <v>-9.52</v>
      </c>
      <c r="D288" s="458">
        <v>-56.06</v>
      </c>
      <c r="E288" s="460">
        <v>1997</v>
      </c>
      <c r="F288" s="460" t="s">
        <v>1046</v>
      </c>
      <c r="G288" s="460" t="s">
        <v>1046</v>
      </c>
      <c r="H288" s="462">
        <v>496</v>
      </c>
      <c r="I288" s="460">
        <v>47.5</v>
      </c>
      <c r="J288" s="460">
        <v>235.6</v>
      </c>
      <c r="K288" s="460">
        <v>2</v>
      </c>
      <c r="L288" s="460">
        <v>4</v>
      </c>
      <c r="M288" s="460">
        <v>1</v>
      </c>
      <c r="N288" s="522"/>
    </row>
    <row r="289" spans="1:14" s="523" customFormat="1" ht="15">
      <c r="A289" s="522"/>
      <c r="B289" s="479" t="s">
        <v>2104</v>
      </c>
      <c r="C289" s="458">
        <v>-9.52</v>
      </c>
      <c r="D289" s="458">
        <v>-56.06</v>
      </c>
      <c r="E289" s="460">
        <v>1997</v>
      </c>
      <c r="F289" s="460" t="s">
        <v>1046</v>
      </c>
      <c r="G289" s="460" t="s">
        <v>1046</v>
      </c>
      <c r="H289" s="462">
        <v>496</v>
      </c>
      <c r="I289" s="460">
        <v>61.5</v>
      </c>
      <c r="J289" s="460">
        <v>305</v>
      </c>
      <c r="K289" s="460">
        <v>2</v>
      </c>
      <c r="L289" s="460">
        <v>4</v>
      </c>
      <c r="M289" s="460">
        <v>1</v>
      </c>
      <c r="N289" s="522"/>
    </row>
    <row r="290" spans="1:14" s="523" customFormat="1" ht="15">
      <c r="A290" s="522"/>
      <c r="B290" s="479" t="s">
        <v>2104</v>
      </c>
      <c r="C290" s="458">
        <v>-9.52</v>
      </c>
      <c r="D290" s="458">
        <v>-56.06</v>
      </c>
      <c r="E290" s="460">
        <v>1997</v>
      </c>
      <c r="F290" s="460" t="s">
        <v>1046</v>
      </c>
      <c r="G290" s="460" t="s">
        <v>1046</v>
      </c>
      <c r="H290" s="462">
        <v>496</v>
      </c>
      <c r="I290" s="460">
        <v>41.8</v>
      </c>
      <c r="J290" s="460">
        <v>207</v>
      </c>
      <c r="K290" s="460">
        <v>2</v>
      </c>
      <c r="L290" s="460">
        <v>4</v>
      </c>
      <c r="M290" s="460">
        <v>1</v>
      </c>
      <c r="N290" s="522"/>
    </row>
    <row r="291" spans="1:14" s="523" customFormat="1" ht="15">
      <c r="A291" s="522"/>
      <c r="B291" s="479" t="s">
        <v>2104</v>
      </c>
      <c r="C291" s="458">
        <v>-9.52</v>
      </c>
      <c r="D291" s="458">
        <v>-56.06</v>
      </c>
      <c r="E291" s="460">
        <v>1997</v>
      </c>
      <c r="F291" s="460" t="s">
        <v>1046</v>
      </c>
      <c r="G291" s="460" t="s">
        <v>1046</v>
      </c>
      <c r="H291" s="462">
        <v>496</v>
      </c>
      <c r="I291" s="460">
        <v>38.6</v>
      </c>
      <c r="J291" s="460">
        <v>191.5</v>
      </c>
      <c r="K291" s="460">
        <v>2</v>
      </c>
      <c r="L291" s="460">
        <v>4</v>
      </c>
      <c r="M291" s="460">
        <v>2</v>
      </c>
      <c r="N291" s="522"/>
    </row>
    <row r="292" spans="1:14" s="523" customFormat="1" ht="15">
      <c r="A292" s="522"/>
      <c r="B292" s="479" t="s">
        <v>2105</v>
      </c>
      <c r="C292" s="458">
        <v>-9.9700000000000006</v>
      </c>
      <c r="D292" s="458">
        <v>-56.34</v>
      </c>
      <c r="E292" s="460">
        <v>2004</v>
      </c>
      <c r="F292" s="459" t="s">
        <v>2106</v>
      </c>
      <c r="G292" s="459" t="s">
        <v>1947</v>
      </c>
      <c r="H292" s="462">
        <v>306</v>
      </c>
      <c r="I292" s="460">
        <v>23.8</v>
      </c>
      <c r="J292" s="460">
        <v>72.8</v>
      </c>
      <c r="K292" s="460">
        <v>2</v>
      </c>
      <c r="L292" s="460">
        <v>4</v>
      </c>
      <c r="M292" s="460">
        <v>3</v>
      </c>
      <c r="N292" s="522"/>
    </row>
    <row r="293" spans="1:14" s="523" customFormat="1" ht="15">
      <c r="A293" s="522"/>
      <c r="B293" s="479" t="s">
        <v>2026</v>
      </c>
      <c r="C293" s="458">
        <v>-12.53</v>
      </c>
      <c r="D293" s="458">
        <v>-54.88</v>
      </c>
      <c r="E293" s="460">
        <v>2007</v>
      </c>
      <c r="F293" s="460">
        <v>12</v>
      </c>
      <c r="G293" s="460" t="s">
        <v>1046</v>
      </c>
      <c r="H293" s="462">
        <v>219</v>
      </c>
      <c r="I293" s="460">
        <v>70.599999999999994</v>
      </c>
      <c r="J293" s="460">
        <v>154.6</v>
      </c>
      <c r="K293" s="460">
        <v>2</v>
      </c>
      <c r="L293" s="460">
        <v>4</v>
      </c>
      <c r="M293" s="460">
        <v>3</v>
      </c>
      <c r="N293" s="522"/>
    </row>
    <row r="294" spans="1:14" s="523" customFormat="1" ht="15">
      <c r="A294" s="522"/>
      <c r="B294" s="479" t="s">
        <v>1894</v>
      </c>
      <c r="C294" s="458">
        <v>-7.9</v>
      </c>
      <c r="D294" s="458">
        <v>-72.44</v>
      </c>
      <c r="E294" s="460">
        <v>2010</v>
      </c>
      <c r="F294" s="460">
        <v>9</v>
      </c>
      <c r="G294" s="460" t="s">
        <v>273</v>
      </c>
      <c r="H294" s="462">
        <v>583</v>
      </c>
      <c r="I294" s="460">
        <v>38.799999999999997</v>
      </c>
      <c r="J294" s="460">
        <v>226.2</v>
      </c>
      <c r="K294" s="460">
        <v>2</v>
      </c>
      <c r="L294" s="460">
        <v>4</v>
      </c>
      <c r="M294" s="460">
        <v>3</v>
      </c>
      <c r="N294" s="522"/>
    </row>
    <row r="295" spans="1:14" s="523" customFormat="1" ht="15">
      <c r="A295" s="522"/>
      <c r="B295" s="479" t="s">
        <v>1917</v>
      </c>
      <c r="C295" s="458">
        <v>19.3</v>
      </c>
      <c r="D295" s="458">
        <v>-105.3</v>
      </c>
      <c r="E295" s="460">
        <v>1993</v>
      </c>
      <c r="F295" s="460">
        <v>4</v>
      </c>
      <c r="G295" s="459" t="s">
        <v>1918</v>
      </c>
      <c r="H295" s="462">
        <v>118.2</v>
      </c>
      <c r="I295" s="460">
        <v>62.4</v>
      </c>
      <c r="J295" s="460">
        <v>73.8</v>
      </c>
      <c r="K295" s="460">
        <v>2</v>
      </c>
      <c r="L295" s="460">
        <v>4</v>
      </c>
      <c r="M295" s="460">
        <v>1</v>
      </c>
      <c r="N295" s="522"/>
    </row>
    <row r="296" spans="1:14" s="523" customFormat="1" ht="15">
      <c r="A296" s="522"/>
      <c r="B296" s="479" t="s">
        <v>1917</v>
      </c>
      <c r="C296" s="458">
        <v>19.3</v>
      </c>
      <c r="D296" s="458">
        <v>-105.3</v>
      </c>
      <c r="E296" s="460">
        <v>1993</v>
      </c>
      <c r="F296" s="460">
        <v>5</v>
      </c>
      <c r="G296" s="459" t="s">
        <v>1919</v>
      </c>
      <c r="H296" s="462">
        <v>134.9</v>
      </c>
      <c r="I296" s="460">
        <v>80.2</v>
      </c>
      <c r="J296" s="460">
        <v>108.2</v>
      </c>
      <c r="K296" s="460">
        <v>2</v>
      </c>
      <c r="L296" s="460">
        <v>4</v>
      </c>
      <c r="M296" s="460">
        <v>1</v>
      </c>
      <c r="N296" s="522"/>
    </row>
    <row r="297" spans="1:14" s="523" customFormat="1" ht="15">
      <c r="A297" s="522"/>
      <c r="B297" s="479" t="s">
        <v>1917</v>
      </c>
      <c r="C297" s="458">
        <v>19.3</v>
      </c>
      <c r="D297" s="458">
        <v>-105.3</v>
      </c>
      <c r="E297" s="460">
        <v>1993</v>
      </c>
      <c r="F297" s="460">
        <v>5</v>
      </c>
      <c r="G297" s="459" t="s">
        <v>1919</v>
      </c>
      <c r="H297" s="462">
        <v>126.6</v>
      </c>
      <c r="I297" s="460">
        <v>71.3</v>
      </c>
      <c r="J297" s="460">
        <v>91</v>
      </c>
      <c r="K297" s="460">
        <v>2</v>
      </c>
      <c r="L297" s="460">
        <v>4</v>
      </c>
      <c r="M297" s="460">
        <v>2</v>
      </c>
      <c r="N297" s="522"/>
    </row>
    <row r="298" spans="1:14" s="523" customFormat="1" ht="15">
      <c r="A298" s="522"/>
      <c r="B298" s="479" t="s">
        <v>1920</v>
      </c>
      <c r="C298" s="458">
        <v>18.350000000000001</v>
      </c>
      <c r="D298" s="458">
        <v>-95.05</v>
      </c>
      <c r="E298" s="460">
        <v>1980</v>
      </c>
      <c r="F298" s="460" t="s">
        <v>273</v>
      </c>
      <c r="G298" s="480" t="s">
        <v>273</v>
      </c>
      <c r="H298" s="462">
        <v>403</v>
      </c>
      <c r="I298" s="462">
        <v>95</v>
      </c>
      <c r="J298" s="462">
        <v>380</v>
      </c>
      <c r="K298" s="460">
        <v>2</v>
      </c>
      <c r="L298" s="460">
        <v>4</v>
      </c>
      <c r="M298" s="460">
        <v>3</v>
      </c>
      <c r="N298" s="522"/>
    </row>
    <row r="299" spans="1:14" s="523" customFormat="1" ht="15">
      <c r="A299" s="522"/>
      <c r="B299" s="479" t="s">
        <v>1921</v>
      </c>
      <c r="C299" s="458">
        <v>-0.52</v>
      </c>
      <c r="D299" s="458">
        <v>117.01</v>
      </c>
      <c r="E299" s="460">
        <v>1998</v>
      </c>
      <c r="F299" s="460" t="s">
        <v>273</v>
      </c>
      <c r="G299" s="460" t="s">
        <v>273</v>
      </c>
      <c r="H299" s="460">
        <v>117</v>
      </c>
      <c r="I299" s="460">
        <v>77</v>
      </c>
      <c r="J299" s="460">
        <v>90</v>
      </c>
      <c r="K299" s="460">
        <v>2</v>
      </c>
      <c r="L299" s="460">
        <v>4</v>
      </c>
      <c r="M299" s="460">
        <v>1</v>
      </c>
      <c r="N299" s="522"/>
    </row>
    <row r="300" spans="1:14" s="523" customFormat="1" ht="15">
      <c r="A300" s="522"/>
      <c r="B300" s="479" t="s">
        <v>1921</v>
      </c>
      <c r="C300" s="458">
        <v>-0.52</v>
      </c>
      <c r="D300" s="458">
        <v>117.01</v>
      </c>
      <c r="E300" s="460">
        <v>1998</v>
      </c>
      <c r="F300" s="460" t="s">
        <v>273</v>
      </c>
      <c r="G300" s="460" t="s">
        <v>273</v>
      </c>
      <c r="H300" s="460">
        <v>280</v>
      </c>
      <c r="I300" s="460">
        <v>62</v>
      </c>
      <c r="J300" s="460">
        <v>174</v>
      </c>
      <c r="K300" s="460">
        <v>2</v>
      </c>
      <c r="L300" s="460">
        <v>4</v>
      </c>
      <c r="M300" s="460">
        <v>1</v>
      </c>
      <c r="N300" s="522"/>
    </row>
    <row r="301" spans="1:14" s="523" customFormat="1" ht="15">
      <c r="A301" s="522"/>
      <c r="B301" s="479" t="s">
        <v>1921</v>
      </c>
      <c r="C301" s="458">
        <v>-0.52</v>
      </c>
      <c r="D301" s="458">
        <v>117.01</v>
      </c>
      <c r="E301" s="460">
        <v>1998</v>
      </c>
      <c r="F301" s="460" t="s">
        <v>273</v>
      </c>
      <c r="G301" s="460" t="s">
        <v>273</v>
      </c>
      <c r="H301" s="460">
        <v>315</v>
      </c>
      <c r="I301" s="460">
        <v>30</v>
      </c>
      <c r="J301" s="460">
        <v>96</v>
      </c>
      <c r="K301" s="460">
        <v>2</v>
      </c>
      <c r="L301" s="460">
        <v>4</v>
      </c>
      <c r="M301" s="460">
        <v>1</v>
      </c>
      <c r="N301" s="522"/>
    </row>
    <row r="302" spans="1:14" s="523" customFormat="1" ht="15">
      <c r="A302" s="522"/>
      <c r="B302" s="479" t="s">
        <v>1921</v>
      </c>
      <c r="C302" s="458">
        <v>-0.52</v>
      </c>
      <c r="D302" s="458">
        <v>117.01</v>
      </c>
      <c r="E302" s="460">
        <v>1998</v>
      </c>
      <c r="F302" s="460" t="s">
        <v>273</v>
      </c>
      <c r="G302" s="460" t="s">
        <v>273</v>
      </c>
      <c r="H302" s="460">
        <v>237.3</v>
      </c>
      <c r="I302" s="460">
        <v>56.3</v>
      </c>
      <c r="J302" s="460">
        <v>120</v>
      </c>
      <c r="K302" s="460">
        <v>2</v>
      </c>
      <c r="L302" s="460">
        <v>4</v>
      </c>
      <c r="M302" s="460">
        <v>2</v>
      </c>
      <c r="N302" s="522"/>
    </row>
    <row r="303" spans="1:14" s="523" customFormat="1" ht="15">
      <c r="A303" s="522"/>
      <c r="B303" s="488" t="s">
        <v>1895</v>
      </c>
      <c r="C303" s="489">
        <v>-25.15</v>
      </c>
      <c r="D303" s="489">
        <v>31.14</v>
      </c>
      <c r="E303" s="490">
        <v>1992</v>
      </c>
      <c r="F303" s="490">
        <v>8</v>
      </c>
      <c r="G303" s="490">
        <v>6</v>
      </c>
      <c r="H303" s="491">
        <v>4.8</v>
      </c>
      <c r="I303" s="490">
        <v>87</v>
      </c>
      <c r="J303" s="490">
        <v>4.2</v>
      </c>
      <c r="K303" s="490">
        <v>1</v>
      </c>
      <c r="L303" s="490">
        <v>4</v>
      </c>
      <c r="M303" s="490">
        <v>1</v>
      </c>
      <c r="N303" s="522"/>
    </row>
    <row r="304" spans="1:14" s="523" customFormat="1" ht="15">
      <c r="A304" s="522"/>
      <c r="B304" s="488" t="s">
        <v>1895</v>
      </c>
      <c r="C304" s="489">
        <v>-25.15</v>
      </c>
      <c r="D304" s="489">
        <v>31.14</v>
      </c>
      <c r="E304" s="492">
        <v>1992</v>
      </c>
      <c r="F304" s="490">
        <v>8</v>
      </c>
      <c r="G304" s="490">
        <v>7</v>
      </c>
      <c r="H304" s="491">
        <v>3.9</v>
      </c>
      <c r="I304" s="490">
        <v>44</v>
      </c>
      <c r="J304" s="490">
        <v>1.7</v>
      </c>
      <c r="K304" s="490">
        <v>1</v>
      </c>
      <c r="L304" s="490">
        <v>4</v>
      </c>
      <c r="M304" s="490">
        <v>1</v>
      </c>
      <c r="N304" s="522"/>
    </row>
    <row r="305" spans="1:14" s="523" customFormat="1" ht="15">
      <c r="A305" s="522"/>
      <c r="B305" s="488" t="s">
        <v>1895</v>
      </c>
      <c r="C305" s="489">
        <v>-25.15</v>
      </c>
      <c r="D305" s="489">
        <v>31.14</v>
      </c>
      <c r="E305" s="492">
        <v>1992</v>
      </c>
      <c r="F305" s="490">
        <v>8</v>
      </c>
      <c r="G305" s="490">
        <v>13</v>
      </c>
      <c r="H305" s="491">
        <v>3.6</v>
      </c>
      <c r="I305" s="490">
        <v>76</v>
      </c>
      <c r="J305" s="490">
        <v>2.7</v>
      </c>
      <c r="K305" s="490">
        <v>1</v>
      </c>
      <c r="L305" s="490">
        <v>4</v>
      </c>
      <c r="M305" s="490">
        <v>1</v>
      </c>
      <c r="N305" s="522"/>
    </row>
    <row r="306" spans="1:14" s="523" customFormat="1" ht="15">
      <c r="A306" s="522"/>
      <c r="B306" s="488" t="s">
        <v>1895</v>
      </c>
      <c r="C306" s="489">
        <v>-25.15</v>
      </c>
      <c r="D306" s="489">
        <v>31.14</v>
      </c>
      <c r="E306" s="492">
        <v>1992</v>
      </c>
      <c r="F306" s="490">
        <v>8</v>
      </c>
      <c r="G306" s="490">
        <v>14</v>
      </c>
      <c r="H306" s="491">
        <v>4.4000000000000004</v>
      </c>
      <c r="I306" s="490">
        <v>84</v>
      </c>
      <c r="J306" s="490">
        <v>3.7</v>
      </c>
      <c r="K306" s="490">
        <v>1</v>
      </c>
      <c r="L306" s="490">
        <v>4</v>
      </c>
      <c r="M306" s="490">
        <v>1</v>
      </c>
      <c r="N306" s="522"/>
    </row>
    <row r="307" spans="1:14" s="523" customFormat="1" ht="15">
      <c r="A307" s="522"/>
      <c r="B307" s="488" t="s">
        <v>1895</v>
      </c>
      <c r="C307" s="489">
        <v>-25.15</v>
      </c>
      <c r="D307" s="489">
        <v>31.14</v>
      </c>
      <c r="E307" s="492">
        <v>1992</v>
      </c>
      <c r="F307" s="490">
        <v>9</v>
      </c>
      <c r="G307" s="490">
        <v>10</v>
      </c>
      <c r="H307" s="491">
        <v>2.2000000000000002</v>
      </c>
      <c r="I307" s="490">
        <v>67</v>
      </c>
      <c r="J307" s="490">
        <v>1.5</v>
      </c>
      <c r="K307" s="490">
        <v>1</v>
      </c>
      <c r="L307" s="490">
        <v>4</v>
      </c>
      <c r="M307" s="490">
        <v>1</v>
      </c>
      <c r="N307" s="522"/>
    </row>
    <row r="308" spans="1:14" s="523" customFormat="1" ht="15">
      <c r="A308" s="522"/>
      <c r="B308" s="488" t="s">
        <v>1895</v>
      </c>
      <c r="C308" s="489">
        <v>-25.15</v>
      </c>
      <c r="D308" s="489">
        <v>31.14</v>
      </c>
      <c r="E308" s="492">
        <v>1992</v>
      </c>
      <c r="F308" s="490">
        <v>9</v>
      </c>
      <c r="G308" s="490">
        <v>11</v>
      </c>
      <c r="H308" s="491">
        <v>3.9</v>
      </c>
      <c r="I308" s="490">
        <v>96</v>
      </c>
      <c r="J308" s="490">
        <v>3.8</v>
      </c>
      <c r="K308" s="490">
        <v>1</v>
      </c>
      <c r="L308" s="490">
        <v>4</v>
      </c>
      <c r="M308" s="490">
        <v>1</v>
      </c>
      <c r="N308" s="522"/>
    </row>
    <row r="309" spans="1:14" s="523" customFormat="1" ht="15">
      <c r="A309" s="522"/>
      <c r="B309" s="488" t="s">
        <v>1895</v>
      </c>
      <c r="C309" s="489">
        <v>-25.15</v>
      </c>
      <c r="D309" s="489">
        <v>31.14</v>
      </c>
      <c r="E309" s="492">
        <v>1992</v>
      </c>
      <c r="F309" s="490">
        <v>9</v>
      </c>
      <c r="G309" s="490">
        <v>18</v>
      </c>
      <c r="H309" s="491">
        <v>3.9</v>
      </c>
      <c r="I309" s="490">
        <v>91</v>
      </c>
      <c r="J309" s="490">
        <v>3.5</v>
      </c>
      <c r="K309" s="490">
        <v>1</v>
      </c>
      <c r="L309" s="490">
        <v>4</v>
      </c>
      <c r="M309" s="490">
        <v>1</v>
      </c>
      <c r="N309" s="522"/>
    </row>
    <row r="310" spans="1:14" s="523" customFormat="1" ht="15">
      <c r="A310" s="522"/>
      <c r="B310" s="488" t="s">
        <v>1895</v>
      </c>
      <c r="C310" s="489">
        <v>-25.15</v>
      </c>
      <c r="D310" s="489">
        <v>31.14</v>
      </c>
      <c r="E310" s="492">
        <v>1992</v>
      </c>
      <c r="F310" s="490">
        <v>9</v>
      </c>
      <c r="G310" s="490">
        <v>24</v>
      </c>
      <c r="H310" s="491">
        <v>5.5</v>
      </c>
      <c r="I310" s="490">
        <v>90</v>
      </c>
      <c r="J310" s="490">
        <v>4.9000000000000004</v>
      </c>
      <c r="K310" s="490">
        <v>1</v>
      </c>
      <c r="L310" s="490">
        <v>4</v>
      </c>
      <c r="M310" s="490">
        <v>1</v>
      </c>
      <c r="N310" s="522"/>
    </row>
    <row r="311" spans="1:14" s="523" customFormat="1" ht="15">
      <c r="A311" s="522"/>
      <c r="B311" s="488" t="s">
        <v>1895</v>
      </c>
      <c r="C311" s="489">
        <v>-25.15</v>
      </c>
      <c r="D311" s="489">
        <v>31.14</v>
      </c>
      <c r="E311" s="492">
        <v>1992</v>
      </c>
      <c r="F311" s="490">
        <v>9</v>
      </c>
      <c r="G311" s="490">
        <v>22</v>
      </c>
      <c r="H311" s="491">
        <v>7.1</v>
      </c>
      <c r="I311" s="490">
        <v>83</v>
      </c>
      <c r="J311" s="490">
        <v>5.9</v>
      </c>
      <c r="K311" s="490">
        <v>1</v>
      </c>
      <c r="L311" s="490">
        <v>4</v>
      </c>
      <c r="M311" s="490">
        <v>1</v>
      </c>
      <c r="N311" s="522"/>
    </row>
    <row r="312" spans="1:14" s="523" customFormat="1" ht="15">
      <c r="A312" s="522"/>
      <c r="B312" s="488" t="s">
        <v>1895</v>
      </c>
      <c r="C312" s="489">
        <v>-25.15</v>
      </c>
      <c r="D312" s="489">
        <v>31.14</v>
      </c>
      <c r="E312" s="491">
        <v>1992</v>
      </c>
      <c r="F312" s="493" t="s">
        <v>1896</v>
      </c>
      <c r="G312" s="493" t="s">
        <v>1897</v>
      </c>
      <c r="H312" s="491">
        <v>4.4000000000000004</v>
      </c>
      <c r="I312" s="490">
        <v>79.8</v>
      </c>
      <c r="J312" s="490">
        <v>3.5</v>
      </c>
      <c r="K312" s="490">
        <v>1</v>
      </c>
      <c r="L312" s="490">
        <v>4</v>
      </c>
      <c r="M312" s="490">
        <v>2</v>
      </c>
      <c r="N312" s="522"/>
    </row>
    <row r="313" spans="1:14" s="523" customFormat="1" ht="15">
      <c r="A313" s="522"/>
      <c r="B313" s="488" t="s">
        <v>1895</v>
      </c>
      <c r="C313" s="489">
        <v>-12.35</v>
      </c>
      <c r="D313" s="489">
        <v>30.21</v>
      </c>
      <c r="E313" s="492">
        <v>1992</v>
      </c>
      <c r="F313" s="490">
        <v>8</v>
      </c>
      <c r="G313" s="490">
        <v>25</v>
      </c>
      <c r="H313" s="491">
        <v>3.2</v>
      </c>
      <c r="I313" s="490">
        <v>99</v>
      </c>
      <c r="J313" s="490">
        <v>3.1</v>
      </c>
      <c r="K313" s="490">
        <v>1</v>
      </c>
      <c r="L313" s="490">
        <v>4</v>
      </c>
      <c r="M313" s="490">
        <v>1</v>
      </c>
      <c r="N313" s="522"/>
    </row>
    <row r="314" spans="1:14" s="523" customFormat="1" ht="15">
      <c r="A314" s="522"/>
      <c r="B314" s="488" t="s">
        <v>1895</v>
      </c>
      <c r="C314" s="489">
        <v>-12.35</v>
      </c>
      <c r="D314" s="489">
        <v>30.21</v>
      </c>
      <c r="E314" s="492">
        <v>1992</v>
      </c>
      <c r="F314" s="490">
        <v>8</v>
      </c>
      <c r="G314" s="490">
        <v>24</v>
      </c>
      <c r="H314" s="491">
        <v>5.8</v>
      </c>
      <c r="I314" s="490">
        <v>74</v>
      </c>
      <c r="J314" s="490">
        <v>4.3</v>
      </c>
      <c r="K314" s="490">
        <v>1</v>
      </c>
      <c r="L314" s="490">
        <v>4</v>
      </c>
      <c r="M314" s="490">
        <v>1</v>
      </c>
      <c r="N314" s="522"/>
    </row>
    <row r="315" spans="1:14" s="523" customFormat="1" ht="15">
      <c r="A315" s="522"/>
      <c r="B315" s="488" t="s">
        <v>1895</v>
      </c>
      <c r="C315" s="489">
        <v>-12.35</v>
      </c>
      <c r="D315" s="489">
        <v>30.21</v>
      </c>
      <c r="E315" s="492">
        <v>1992</v>
      </c>
      <c r="F315" s="490">
        <v>8</v>
      </c>
      <c r="G315" s="490">
        <v>27</v>
      </c>
      <c r="H315" s="491">
        <v>7.3</v>
      </c>
      <c r="I315" s="490">
        <v>71</v>
      </c>
      <c r="J315" s="490">
        <v>5.2</v>
      </c>
      <c r="K315" s="490">
        <v>1</v>
      </c>
      <c r="L315" s="490">
        <v>4</v>
      </c>
      <c r="M315" s="490">
        <v>1</v>
      </c>
      <c r="N315" s="522"/>
    </row>
    <row r="316" spans="1:14" s="523" customFormat="1" ht="15">
      <c r="A316" s="522"/>
      <c r="B316" s="488" t="s">
        <v>1895</v>
      </c>
      <c r="C316" s="489">
        <v>-12.35</v>
      </c>
      <c r="D316" s="489">
        <v>30.21</v>
      </c>
      <c r="E316" s="491">
        <v>1992</v>
      </c>
      <c r="F316" s="491">
        <v>8</v>
      </c>
      <c r="G316" s="493" t="s">
        <v>2083</v>
      </c>
      <c r="H316" s="491">
        <v>5.4</v>
      </c>
      <c r="I316" s="490">
        <v>81.3</v>
      </c>
      <c r="J316" s="490">
        <v>4.2</v>
      </c>
      <c r="K316" s="490">
        <v>1</v>
      </c>
      <c r="L316" s="490">
        <v>4</v>
      </c>
      <c r="M316" s="490">
        <v>2</v>
      </c>
      <c r="N316" s="522"/>
    </row>
    <row r="317" spans="1:14" s="523" customFormat="1" ht="15">
      <c r="A317" s="522"/>
      <c r="B317" s="488" t="s">
        <v>1895</v>
      </c>
      <c r="C317" s="489">
        <v>-16.600000000000001</v>
      </c>
      <c r="D317" s="489">
        <v>27.15</v>
      </c>
      <c r="E317" s="492">
        <v>1992</v>
      </c>
      <c r="F317" s="490">
        <v>9</v>
      </c>
      <c r="G317" s="490">
        <v>3</v>
      </c>
      <c r="H317" s="491">
        <v>5.0999999999999996</v>
      </c>
      <c r="I317" s="490">
        <v>88</v>
      </c>
      <c r="J317" s="490">
        <v>4.5</v>
      </c>
      <c r="K317" s="490">
        <v>1</v>
      </c>
      <c r="L317" s="490">
        <v>4</v>
      </c>
      <c r="M317" s="490">
        <v>3</v>
      </c>
      <c r="N317" s="522"/>
    </row>
    <row r="318" spans="1:14" s="523" customFormat="1" ht="15">
      <c r="A318" s="522"/>
      <c r="B318" s="488" t="s">
        <v>1898</v>
      </c>
      <c r="C318" s="489">
        <v>-14.52</v>
      </c>
      <c r="D318" s="489">
        <v>24.49</v>
      </c>
      <c r="E318" s="490">
        <v>1996</v>
      </c>
      <c r="F318" s="490">
        <v>6</v>
      </c>
      <c r="G318" s="490">
        <v>5</v>
      </c>
      <c r="H318" s="491">
        <v>3.3</v>
      </c>
      <c r="I318" s="490">
        <v>52</v>
      </c>
      <c r="J318" s="490">
        <v>1.7</v>
      </c>
      <c r="K318" s="490">
        <v>1</v>
      </c>
      <c r="L318" s="490">
        <v>4</v>
      </c>
      <c r="M318" s="490">
        <v>1</v>
      </c>
      <c r="N318" s="522"/>
    </row>
    <row r="319" spans="1:14" s="523" customFormat="1" ht="15">
      <c r="A319" s="522"/>
      <c r="B319" s="488" t="s">
        <v>1898</v>
      </c>
      <c r="C319" s="489">
        <v>-14.52</v>
      </c>
      <c r="D319" s="489">
        <v>24.49</v>
      </c>
      <c r="E319" s="490">
        <v>1996</v>
      </c>
      <c r="F319" s="490">
        <v>6</v>
      </c>
      <c r="G319" s="490">
        <v>14</v>
      </c>
      <c r="H319" s="491">
        <v>3.2</v>
      </c>
      <c r="I319" s="490">
        <v>44</v>
      </c>
      <c r="J319" s="490">
        <v>1.4</v>
      </c>
      <c r="K319" s="490">
        <v>1</v>
      </c>
      <c r="L319" s="490">
        <v>4</v>
      </c>
      <c r="M319" s="490">
        <v>1</v>
      </c>
      <c r="N319" s="522"/>
    </row>
    <row r="320" spans="1:14" s="523" customFormat="1" ht="15">
      <c r="A320" s="522"/>
      <c r="B320" s="488" t="s">
        <v>1898</v>
      </c>
      <c r="C320" s="489">
        <v>-14.52</v>
      </c>
      <c r="D320" s="489">
        <v>24.49</v>
      </c>
      <c r="E320" s="490">
        <v>1996</v>
      </c>
      <c r="F320" s="490">
        <v>6</v>
      </c>
      <c r="G320" s="490">
        <v>26</v>
      </c>
      <c r="H320" s="491">
        <v>2.4</v>
      </c>
      <c r="I320" s="490">
        <v>78</v>
      </c>
      <c r="J320" s="490">
        <v>1.9</v>
      </c>
      <c r="K320" s="490">
        <v>1</v>
      </c>
      <c r="L320" s="490">
        <v>4</v>
      </c>
      <c r="M320" s="490">
        <v>1</v>
      </c>
      <c r="N320" s="522"/>
    </row>
    <row r="321" spans="1:14" s="523" customFormat="1" ht="15">
      <c r="A321" s="522"/>
      <c r="B321" s="488" t="s">
        <v>1898</v>
      </c>
      <c r="C321" s="489">
        <v>-14.52</v>
      </c>
      <c r="D321" s="489">
        <v>24.49</v>
      </c>
      <c r="E321" s="490">
        <v>1996</v>
      </c>
      <c r="F321" s="490">
        <v>7</v>
      </c>
      <c r="G321" s="490">
        <v>9</v>
      </c>
      <c r="H321" s="491">
        <v>3</v>
      </c>
      <c r="I321" s="490">
        <v>88</v>
      </c>
      <c r="J321" s="490">
        <v>2.6</v>
      </c>
      <c r="K321" s="490">
        <v>1</v>
      </c>
      <c r="L321" s="490">
        <v>4</v>
      </c>
      <c r="M321" s="490">
        <v>1</v>
      </c>
      <c r="N321" s="522"/>
    </row>
    <row r="322" spans="1:14" s="523" customFormat="1" ht="15">
      <c r="A322" s="522"/>
      <c r="B322" s="488" t="s">
        <v>1898</v>
      </c>
      <c r="C322" s="489">
        <v>-14.52</v>
      </c>
      <c r="D322" s="489">
        <v>24.49</v>
      </c>
      <c r="E322" s="490">
        <v>1996</v>
      </c>
      <c r="F322" s="490">
        <v>7</v>
      </c>
      <c r="G322" s="490">
        <v>18</v>
      </c>
      <c r="H322" s="491">
        <v>2.7</v>
      </c>
      <c r="I322" s="490">
        <v>87</v>
      </c>
      <c r="J322" s="490">
        <v>2.2999999999999998</v>
      </c>
      <c r="K322" s="490">
        <v>1</v>
      </c>
      <c r="L322" s="490">
        <v>4</v>
      </c>
      <c r="M322" s="490">
        <v>1</v>
      </c>
      <c r="N322" s="522"/>
    </row>
    <row r="323" spans="1:14" s="523" customFormat="1" ht="15">
      <c r="A323" s="522"/>
      <c r="B323" s="488" t="s">
        <v>1898</v>
      </c>
      <c r="C323" s="489">
        <v>-14.52</v>
      </c>
      <c r="D323" s="489">
        <v>24.49</v>
      </c>
      <c r="E323" s="490">
        <v>1996</v>
      </c>
      <c r="F323" s="490">
        <v>7</v>
      </c>
      <c r="G323" s="490">
        <v>26</v>
      </c>
      <c r="H323" s="491">
        <v>1.9</v>
      </c>
      <c r="I323" s="490">
        <v>73</v>
      </c>
      <c r="J323" s="490">
        <v>1.4</v>
      </c>
      <c r="K323" s="490">
        <v>1</v>
      </c>
      <c r="L323" s="490">
        <v>4</v>
      </c>
      <c r="M323" s="490">
        <v>1</v>
      </c>
      <c r="N323" s="522"/>
    </row>
    <row r="324" spans="1:14" s="523" customFormat="1" ht="15">
      <c r="A324" s="522"/>
      <c r="B324" s="488" t="s">
        <v>1898</v>
      </c>
      <c r="C324" s="489">
        <v>-14.52</v>
      </c>
      <c r="D324" s="489">
        <v>24.49</v>
      </c>
      <c r="E324" s="490">
        <v>1996</v>
      </c>
      <c r="F324" s="490">
        <v>8</v>
      </c>
      <c r="G324" s="490">
        <v>6</v>
      </c>
      <c r="H324" s="491">
        <v>3.2</v>
      </c>
      <c r="I324" s="490">
        <v>98</v>
      </c>
      <c r="J324" s="490">
        <v>3.1</v>
      </c>
      <c r="K324" s="490">
        <v>1</v>
      </c>
      <c r="L324" s="490">
        <v>4</v>
      </c>
      <c r="M324" s="490">
        <v>1</v>
      </c>
      <c r="N324" s="522"/>
    </row>
    <row r="325" spans="1:14" s="523" customFormat="1" ht="15">
      <c r="A325" s="522"/>
      <c r="B325" s="488" t="s">
        <v>1898</v>
      </c>
      <c r="C325" s="489">
        <v>-14.52</v>
      </c>
      <c r="D325" s="489">
        <v>24.49</v>
      </c>
      <c r="E325" s="490">
        <v>1996</v>
      </c>
      <c r="F325" s="490">
        <v>6</v>
      </c>
      <c r="G325" s="490">
        <v>6</v>
      </c>
      <c r="H325" s="491">
        <v>9</v>
      </c>
      <c r="I325" s="490">
        <v>1</v>
      </c>
      <c r="J325" s="490">
        <v>0.09</v>
      </c>
      <c r="K325" s="490">
        <v>1</v>
      </c>
      <c r="L325" s="490">
        <v>4</v>
      </c>
      <c r="M325" s="490">
        <v>1</v>
      </c>
      <c r="N325" s="522"/>
    </row>
    <row r="326" spans="1:14" s="523" customFormat="1" ht="15">
      <c r="A326" s="522"/>
      <c r="B326" s="488" t="s">
        <v>1898</v>
      </c>
      <c r="C326" s="489">
        <v>-14.52</v>
      </c>
      <c r="D326" s="489">
        <v>24.49</v>
      </c>
      <c r="E326" s="490">
        <v>1996</v>
      </c>
      <c r="F326" s="490">
        <v>6</v>
      </c>
      <c r="G326" s="490">
        <v>8</v>
      </c>
      <c r="H326" s="491">
        <v>11.4</v>
      </c>
      <c r="I326" s="490">
        <v>22</v>
      </c>
      <c r="J326" s="490">
        <v>2.5</v>
      </c>
      <c r="K326" s="490">
        <v>1</v>
      </c>
      <c r="L326" s="490">
        <v>4</v>
      </c>
      <c r="M326" s="490">
        <v>1</v>
      </c>
      <c r="N326" s="522"/>
    </row>
    <row r="327" spans="1:14" s="523" customFormat="1" ht="15">
      <c r="A327" s="522"/>
      <c r="B327" s="488" t="s">
        <v>1898</v>
      </c>
      <c r="C327" s="489">
        <v>-14.52</v>
      </c>
      <c r="D327" s="489">
        <v>24.49</v>
      </c>
      <c r="E327" s="490">
        <v>1996</v>
      </c>
      <c r="F327" s="490">
        <v>7</v>
      </c>
      <c r="G327" s="490">
        <v>5</v>
      </c>
      <c r="H327" s="491">
        <v>9.1999999999999993</v>
      </c>
      <c r="I327" s="490">
        <v>17</v>
      </c>
      <c r="J327" s="490">
        <v>1.6</v>
      </c>
      <c r="K327" s="490">
        <v>1</v>
      </c>
      <c r="L327" s="490">
        <v>4</v>
      </c>
      <c r="M327" s="490">
        <v>1</v>
      </c>
      <c r="N327" s="522"/>
    </row>
    <row r="328" spans="1:14" s="523" customFormat="1" ht="15">
      <c r="A328" s="522"/>
      <c r="B328" s="488" t="s">
        <v>1898</v>
      </c>
      <c r="C328" s="489">
        <v>-14.52</v>
      </c>
      <c r="D328" s="489">
        <v>24.49</v>
      </c>
      <c r="E328" s="490">
        <v>1996</v>
      </c>
      <c r="F328" s="490">
        <v>7</v>
      </c>
      <c r="G328" s="490">
        <v>16</v>
      </c>
      <c r="H328" s="491">
        <v>9</v>
      </c>
      <c r="I328" s="490">
        <v>28</v>
      </c>
      <c r="J328" s="490">
        <v>2.5</v>
      </c>
      <c r="K328" s="490">
        <v>1</v>
      </c>
      <c r="L328" s="490">
        <v>4</v>
      </c>
      <c r="M328" s="490">
        <v>1</v>
      </c>
      <c r="N328" s="522"/>
    </row>
    <row r="329" spans="1:14" s="523" customFormat="1" ht="15">
      <c r="A329" s="522"/>
      <c r="B329" s="488" t="s">
        <v>1898</v>
      </c>
      <c r="C329" s="489">
        <v>-14.52</v>
      </c>
      <c r="D329" s="489">
        <v>24.49</v>
      </c>
      <c r="E329" s="490">
        <v>1996</v>
      </c>
      <c r="F329" s="490">
        <v>7</v>
      </c>
      <c r="G329" s="490">
        <v>24</v>
      </c>
      <c r="H329" s="491">
        <v>13.2</v>
      </c>
      <c r="I329" s="490">
        <v>21</v>
      </c>
      <c r="J329" s="490">
        <v>2.8</v>
      </c>
      <c r="K329" s="490">
        <v>1</v>
      </c>
      <c r="L329" s="490">
        <v>4</v>
      </c>
      <c r="M329" s="490">
        <v>1</v>
      </c>
      <c r="N329" s="522"/>
    </row>
    <row r="330" spans="1:14" s="523" customFormat="1" ht="15">
      <c r="A330" s="522"/>
      <c r="B330" s="488" t="s">
        <v>1898</v>
      </c>
      <c r="C330" s="489">
        <v>-14.52</v>
      </c>
      <c r="D330" s="489">
        <v>24.49</v>
      </c>
      <c r="E330" s="490">
        <v>1996</v>
      </c>
      <c r="F330" s="490">
        <v>7</v>
      </c>
      <c r="G330" s="490">
        <v>16</v>
      </c>
      <c r="H330" s="491">
        <v>11.2</v>
      </c>
      <c r="I330" s="490">
        <v>47</v>
      </c>
      <c r="J330" s="490">
        <v>5.3</v>
      </c>
      <c r="K330" s="490">
        <v>1</v>
      </c>
      <c r="L330" s="490">
        <v>4</v>
      </c>
      <c r="M330" s="490">
        <v>1</v>
      </c>
      <c r="N330" s="522"/>
    </row>
    <row r="331" spans="1:14" s="523" customFormat="1" ht="15">
      <c r="A331" s="522"/>
      <c r="B331" s="488" t="s">
        <v>1898</v>
      </c>
      <c r="C331" s="489">
        <v>-14.52</v>
      </c>
      <c r="D331" s="489">
        <v>24.49</v>
      </c>
      <c r="E331" s="491">
        <v>1996</v>
      </c>
      <c r="F331" s="493" t="s">
        <v>2039</v>
      </c>
      <c r="G331" s="493" t="s">
        <v>2040</v>
      </c>
      <c r="H331" s="491">
        <v>5.8</v>
      </c>
      <c r="I331" s="490">
        <v>52.9</v>
      </c>
      <c r="J331" s="490">
        <v>2.2000000000000002</v>
      </c>
      <c r="K331" s="490">
        <v>1</v>
      </c>
      <c r="L331" s="490">
        <v>4</v>
      </c>
      <c r="M331" s="490">
        <v>2</v>
      </c>
      <c r="N331" s="522"/>
    </row>
    <row r="332" spans="1:14" s="523" customFormat="1" ht="15">
      <c r="A332" s="522"/>
      <c r="B332" s="488" t="s">
        <v>2041</v>
      </c>
      <c r="C332" s="489">
        <v>-15</v>
      </c>
      <c r="D332" s="489">
        <v>23</v>
      </c>
      <c r="E332" s="490">
        <v>2000</v>
      </c>
      <c r="F332" s="493" t="s">
        <v>1896</v>
      </c>
      <c r="G332" s="493" t="s">
        <v>1046</v>
      </c>
      <c r="H332" s="490">
        <v>3.6</v>
      </c>
      <c r="I332" s="490">
        <v>94</v>
      </c>
      <c r="J332" s="490">
        <v>3.4</v>
      </c>
      <c r="K332" s="490">
        <v>1</v>
      </c>
      <c r="L332" s="490">
        <v>4</v>
      </c>
      <c r="M332" s="490">
        <v>1</v>
      </c>
      <c r="N332" s="522"/>
    </row>
    <row r="333" spans="1:14" s="523" customFormat="1" ht="15">
      <c r="A333" s="522"/>
      <c r="B333" s="488" t="s">
        <v>2041</v>
      </c>
      <c r="C333" s="489">
        <v>-15</v>
      </c>
      <c r="D333" s="489">
        <v>23</v>
      </c>
      <c r="E333" s="490">
        <v>2000</v>
      </c>
      <c r="F333" s="493" t="s">
        <v>1896</v>
      </c>
      <c r="G333" s="493" t="s">
        <v>1046</v>
      </c>
      <c r="H333" s="490">
        <v>6</v>
      </c>
      <c r="I333" s="490">
        <v>67</v>
      </c>
      <c r="J333" s="490">
        <v>4</v>
      </c>
      <c r="K333" s="490">
        <v>1</v>
      </c>
      <c r="L333" s="490">
        <v>4</v>
      </c>
      <c r="M333" s="490">
        <v>1</v>
      </c>
      <c r="N333" s="522"/>
    </row>
    <row r="334" spans="1:14" s="523" customFormat="1" ht="15">
      <c r="A334" s="522"/>
      <c r="B334" s="488" t="s">
        <v>2041</v>
      </c>
      <c r="C334" s="489">
        <v>-15</v>
      </c>
      <c r="D334" s="489">
        <v>23</v>
      </c>
      <c r="E334" s="490">
        <v>2000</v>
      </c>
      <c r="F334" s="493" t="s">
        <v>1896</v>
      </c>
      <c r="G334" s="493" t="s">
        <v>1046</v>
      </c>
      <c r="H334" s="490">
        <v>3.9</v>
      </c>
      <c r="I334" s="490">
        <v>69</v>
      </c>
      <c r="J334" s="490">
        <v>2.7</v>
      </c>
      <c r="K334" s="490">
        <v>1</v>
      </c>
      <c r="L334" s="490">
        <v>4</v>
      </c>
      <c r="M334" s="490">
        <v>1</v>
      </c>
      <c r="N334" s="522"/>
    </row>
    <row r="335" spans="1:14" s="523" customFormat="1" ht="15">
      <c r="A335" s="522"/>
      <c r="B335" s="488" t="s">
        <v>2041</v>
      </c>
      <c r="C335" s="489">
        <v>-15</v>
      </c>
      <c r="D335" s="489">
        <v>23</v>
      </c>
      <c r="E335" s="490">
        <v>2000</v>
      </c>
      <c r="F335" s="493" t="s">
        <v>1896</v>
      </c>
      <c r="G335" s="493" t="s">
        <v>1046</v>
      </c>
      <c r="H335" s="490">
        <v>3.7</v>
      </c>
      <c r="I335" s="490">
        <v>91</v>
      </c>
      <c r="J335" s="490">
        <v>3.4</v>
      </c>
      <c r="K335" s="490">
        <v>1</v>
      </c>
      <c r="L335" s="490">
        <v>4</v>
      </c>
      <c r="M335" s="490">
        <v>1</v>
      </c>
      <c r="N335" s="522"/>
    </row>
    <row r="336" spans="1:14" s="523" customFormat="1" ht="15">
      <c r="A336" s="522"/>
      <c r="B336" s="488" t="s">
        <v>2041</v>
      </c>
      <c r="C336" s="489">
        <v>-15</v>
      </c>
      <c r="D336" s="489">
        <v>23</v>
      </c>
      <c r="E336" s="490">
        <v>2000</v>
      </c>
      <c r="F336" s="493" t="s">
        <v>1896</v>
      </c>
      <c r="G336" s="493" t="s">
        <v>1046</v>
      </c>
      <c r="H336" s="490">
        <v>3.7</v>
      </c>
      <c r="I336" s="490">
        <v>35</v>
      </c>
      <c r="J336" s="490">
        <v>1.3</v>
      </c>
      <c r="K336" s="490">
        <v>1</v>
      </c>
      <c r="L336" s="490">
        <v>4</v>
      </c>
      <c r="M336" s="490">
        <v>1</v>
      </c>
      <c r="N336" s="522"/>
    </row>
    <row r="337" spans="1:14" s="523" customFormat="1" ht="15">
      <c r="A337" s="522"/>
      <c r="B337" s="488" t="s">
        <v>2041</v>
      </c>
      <c r="C337" s="489">
        <v>-15</v>
      </c>
      <c r="D337" s="489">
        <v>23</v>
      </c>
      <c r="E337" s="490">
        <v>2000</v>
      </c>
      <c r="F337" s="493" t="s">
        <v>1896</v>
      </c>
      <c r="G337" s="493" t="s">
        <v>1046</v>
      </c>
      <c r="H337" s="490">
        <v>3.6</v>
      </c>
      <c r="I337" s="490">
        <v>52</v>
      </c>
      <c r="J337" s="490">
        <v>1.9</v>
      </c>
      <c r="K337" s="490">
        <v>1</v>
      </c>
      <c r="L337" s="490">
        <v>4</v>
      </c>
      <c r="M337" s="490">
        <v>1</v>
      </c>
      <c r="N337" s="522"/>
    </row>
    <row r="338" spans="1:14" s="523" customFormat="1" ht="15">
      <c r="A338" s="522"/>
      <c r="B338" s="488" t="s">
        <v>2041</v>
      </c>
      <c r="C338" s="489">
        <v>-15</v>
      </c>
      <c r="D338" s="489">
        <v>23</v>
      </c>
      <c r="E338" s="490">
        <v>2000</v>
      </c>
      <c r="F338" s="493" t="s">
        <v>1896</v>
      </c>
      <c r="G338" s="493" t="s">
        <v>1046</v>
      </c>
      <c r="H338" s="490">
        <v>4.4000000000000004</v>
      </c>
      <c r="I338" s="490">
        <v>86</v>
      </c>
      <c r="J338" s="490">
        <v>3.8</v>
      </c>
      <c r="K338" s="490">
        <v>1</v>
      </c>
      <c r="L338" s="490">
        <v>4</v>
      </c>
      <c r="M338" s="490">
        <v>1</v>
      </c>
      <c r="N338" s="522"/>
    </row>
    <row r="339" spans="1:14" s="523" customFormat="1" ht="15">
      <c r="A339" s="522"/>
      <c r="B339" s="488" t="s">
        <v>2041</v>
      </c>
      <c r="C339" s="489">
        <v>-15</v>
      </c>
      <c r="D339" s="489">
        <v>23</v>
      </c>
      <c r="E339" s="490">
        <v>2000</v>
      </c>
      <c r="F339" s="493" t="s">
        <v>1896</v>
      </c>
      <c r="G339" s="493" t="s">
        <v>1046</v>
      </c>
      <c r="H339" s="490">
        <v>4.7</v>
      </c>
      <c r="I339" s="490">
        <v>54</v>
      </c>
      <c r="J339" s="490">
        <v>2.5</v>
      </c>
      <c r="K339" s="490">
        <v>1</v>
      </c>
      <c r="L339" s="490">
        <v>4</v>
      </c>
      <c r="M339" s="490">
        <v>1</v>
      </c>
      <c r="N339" s="522"/>
    </row>
    <row r="340" spans="1:14" s="523" customFormat="1" ht="15">
      <c r="A340" s="522"/>
      <c r="B340" s="488" t="s">
        <v>2041</v>
      </c>
      <c r="C340" s="489">
        <v>-15</v>
      </c>
      <c r="D340" s="489">
        <v>23</v>
      </c>
      <c r="E340" s="490">
        <v>2000</v>
      </c>
      <c r="F340" s="493" t="s">
        <v>1896</v>
      </c>
      <c r="G340" s="493" t="s">
        <v>1046</v>
      </c>
      <c r="H340" s="490">
        <v>4.2</v>
      </c>
      <c r="I340" s="490">
        <v>68.5</v>
      </c>
      <c r="J340" s="490">
        <v>2.9</v>
      </c>
      <c r="K340" s="490">
        <v>1</v>
      </c>
      <c r="L340" s="490">
        <v>4</v>
      </c>
      <c r="M340" s="490">
        <v>2</v>
      </c>
      <c r="N340" s="522"/>
    </row>
    <row r="341" spans="1:14" s="523" customFormat="1" ht="15">
      <c r="A341" s="522"/>
      <c r="B341" s="488" t="s">
        <v>2042</v>
      </c>
      <c r="C341" s="489">
        <v>12.22</v>
      </c>
      <c r="D341" s="489">
        <v>-2.7</v>
      </c>
      <c r="E341" s="490">
        <v>2005</v>
      </c>
      <c r="F341" s="493">
        <v>11</v>
      </c>
      <c r="G341" s="493">
        <v>30</v>
      </c>
      <c r="H341" s="490">
        <v>4.2</v>
      </c>
      <c r="I341" s="490">
        <v>79</v>
      </c>
      <c r="J341" s="490">
        <v>3.3</v>
      </c>
      <c r="K341" s="490">
        <v>1</v>
      </c>
      <c r="L341" s="490">
        <v>4</v>
      </c>
      <c r="M341" s="490">
        <v>1</v>
      </c>
      <c r="N341" s="522"/>
    </row>
    <row r="342" spans="1:14" s="523" customFormat="1" ht="15">
      <c r="A342" s="522"/>
      <c r="B342" s="488" t="s">
        <v>2042</v>
      </c>
      <c r="C342" s="489">
        <v>12.22</v>
      </c>
      <c r="D342" s="489">
        <v>-2.7</v>
      </c>
      <c r="E342" s="490">
        <v>2005</v>
      </c>
      <c r="F342" s="493">
        <v>12</v>
      </c>
      <c r="G342" s="493">
        <v>1</v>
      </c>
      <c r="H342" s="490">
        <v>7.3</v>
      </c>
      <c r="I342" s="490">
        <v>68</v>
      </c>
      <c r="J342" s="490">
        <v>5</v>
      </c>
      <c r="K342" s="490">
        <v>1</v>
      </c>
      <c r="L342" s="490">
        <v>4</v>
      </c>
      <c r="M342" s="490">
        <v>1</v>
      </c>
      <c r="N342" s="522"/>
    </row>
    <row r="343" spans="1:14" s="523" customFormat="1" ht="15">
      <c r="A343" s="522"/>
      <c r="B343" s="488" t="s">
        <v>2042</v>
      </c>
      <c r="C343" s="489">
        <v>12.22</v>
      </c>
      <c r="D343" s="489">
        <v>-2.7</v>
      </c>
      <c r="E343" s="490">
        <v>2005</v>
      </c>
      <c r="F343" s="493">
        <v>12</v>
      </c>
      <c r="G343" s="493">
        <v>2</v>
      </c>
      <c r="H343" s="490">
        <v>4.5</v>
      </c>
      <c r="I343" s="490">
        <v>93</v>
      </c>
      <c r="J343" s="490">
        <v>4.2</v>
      </c>
      <c r="K343" s="490">
        <v>1</v>
      </c>
      <c r="L343" s="490">
        <v>4</v>
      </c>
      <c r="M343" s="490">
        <v>1</v>
      </c>
      <c r="N343" s="522"/>
    </row>
    <row r="344" spans="1:14" s="523" customFormat="1" ht="15">
      <c r="A344" s="522"/>
      <c r="B344" s="488" t="s">
        <v>2042</v>
      </c>
      <c r="C344" s="489">
        <v>12.22</v>
      </c>
      <c r="D344" s="489">
        <v>-2.7</v>
      </c>
      <c r="E344" s="490">
        <v>2005</v>
      </c>
      <c r="F344" s="493">
        <v>12</v>
      </c>
      <c r="G344" s="493">
        <v>4</v>
      </c>
      <c r="H344" s="490">
        <v>7</v>
      </c>
      <c r="I344" s="490">
        <v>59</v>
      </c>
      <c r="J344" s="490">
        <v>4.0999999999999996</v>
      </c>
      <c r="K344" s="490">
        <v>1</v>
      </c>
      <c r="L344" s="490">
        <v>4</v>
      </c>
      <c r="M344" s="490">
        <v>1</v>
      </c>
      <c r="N344" s="522"/>
    </row>
    <row r="345" spans="1:14" s="523" customFormat="1" ht="15">
      <c r="A345" s="522"/>
      <c r="B345" s="488" t="s">
        <v>2042</v>
      </c>
      <c r="C345" s="489">
        <v>12.22</v>
      </c>
      <c r="D345" s="489">
        <v>-2.7</v>
      </c>
      <c r="E345" s="491">
        <v>2005</v>
      </c>
      <c r="F345" s="493" t="s">
        <v>2043</v>
      </c>
      <c r="G345" s="493" t="s">
        <v>1905</v>
      </c>
      <c r="H345" s="490">
        <v>5.8</v>
      </c>
      <c r="I345" s="490">
        <v>74.8</v>
      </c>
      <c r="J345" s="490">
        <v>4.2</v>
      </c>
      <c r="K345" s="490">
        <v>1</v>
      </c>
      <c r="L345" s="490">
        <v>4</v>
      </c>
      <c r="M345" s="490">
        <v>2</v>
      </c>
      <c r="N345" s="522"/>
    </row>
    <row r="346" spans="1:14" s="523" customFormat="1" ht="15">
      <c r="A346" s="522"/>
      <c r="B346" s="488" t="s">
        <v>2044</v>
      </c>
      <c r="C346" s="489">
        <v>-15.84</v>
      </c>
      <c r="D346" s="489">
        <v>-47.95</v>
      </c>
      <c r="E346" s="490">
        <v>1990</v>
      </c>
      <c r="F346" s="493" t="s">
        <v>1896</v>
      </c>
      <c r="G346" s="493" t="s">
        <v>1046</v>
      </c>
      <c r="H346" s="491">
        <v>7.1</v>
      </c>
      <c r="I346" s="490">
        <v>100</v>
      </c>
      <c r="J346" s="490">
        <v>7.1</v>
      </c>
      <c r="K346" s="490">
        <v>1</v>
      </c>
      <c r="L346" s="490">
        <v>4</v>
      </c>
      <c r="M346" s="490">
        <v>1</v>
      </c>
      <c r="N346" s="522"/>
    </row>
    <row r="347" spans="1:14" s="523" customFormat="1" ht="15">
      <c r="A347" s="522"/>
      <c r="B347" s="488" t="s">
        <v>2044</v>
      </c>
      <c r="C347" s="489">
        <v>-15.84</v>
      </c>
      <c r="D347" s="489">
        <v>-47.95</v>
      </c>
      <c r="E347" s="490">
        <v>1990</v>
      </c>
      <c r="F347" s="493" t="s">
        <v>1896</v>
      </c>
      <c r="G347" s="493" t="s">
        <v>1046</v>
      </c>
      <c r="H347" s="491">
        <v>7.3</v>
      </c>
      <c r="I347" s="490">
        <v>97</v>
      </c>
      <c r="J347" s="490">
        <v>7.1</v>
      </c>
      <c r="K347" s="490">
        <v>1</v>
      </c>
      <c r="L347" s="490">
        <v>4</v>
      </c>
      <c r="M347" s="490">
        <v>1</v>
      </c>
      <c r="N347" s="522"/>
    </row>
    <row r="348" spans="1:14" s="523" customFormat="1" ht="15">
      <c r="A348" s="522"/>
      <c r="B348" s="488" t="s">
        <v>2044</v>
      </c>
      <c r="C348" s="489">
        <v>-15.84</v>
      </c>
      <c r="D348" s="489">
        <v>-47.95</v>
      </c>
      <c r="E348" s="490">
        <v>1990</v>
      </c>
      <c r="F348" s="493" t="s">
        <v>1896</v>
      </c>
      <c r="G348" s="493" t="s">
        <v>1046</v>
      </c>
      <c r="H348" s="491">
        <v>8.6</v>
      </c>
      <c r="I348" s="490">
        <v>72</v>
      </c>
      <c r="J348" s="490">
        <v>6.2</v>
      </c>
      <c r="K348" s="490">
        <v>1</v>
      </c>
      <c r="L348" s="490">
        <v>4</v>
      </c>
      <c r="M348" s="490">
        <v>1</v>
      </c>
      <c r="N348" s="522"/>
    </row>
    <row r="349" spans="1:14" s="523" customFormat="1" ht="15">
      <c r="A349" s="522"/>
      <c r="B349" s="488" t="s">
        <v>2044</v>
      </c>
      <c r="C349" s="489">
        <v>-15.84</v>
      </c>
      <c r="D349" s="489">
        <v>-47.95</v>
      </c>
      <c r="E349" s="490">
        <v>1990</v>
      </c>
      <c r="F349" s="493" t="s">
        <v>1896</v>
      </c>
      <c r="G349" s="493" t="s">
        <v>1046</v>
      </c>
      <c r="H349" s="491">
        <v>10</v>
      </c>
      <c r="I349" s="490">
        <v>84</v>
      </c>
      <c r="J349" s="490">
        <v>8.4</v>
      </c>
      <c r="K349" s="490">
        <v>1</v>
      </c>
      <c r="L349" s="490">
        <v>4</v>
      </c>
      <c r="M349" s="490">
        <v>1</v>
      </c>
      <c r="N349" s="522"/>
    </row>
    <row r="350" spans="1:14" s="523" customFormat="1" ht="15">
      <c r="A350" s="522"/>
      <c r="B350" s="488" t="s">
        <v>2044</v>
      </c>
      <c r="C350" s="489">
        <v>-15.84</v>
      </c>
      <c r="D350" s="489">
        <v>-47.95</v>
      </c>
      <c r="E350" s="490">
        <v>1990</v>
      </c>
      <c r="F350" s="493" t="s">
        <v>1896</v>
      </c>
      <c r="G350" s="493" t="s">
        <v>1046</v>
      </c>
      <c r="H350" s="491">
        <v>8.3000000000000007</v>
      </c>
      <c r="I350" s="490">
        <v>88.3</v>
      </c>
      <c r="J350" s="490">
        <v>7.2</v>
      </c>
      <c r="K350" s="490">
        <v>1</v>
      </c>
      <c r="L350" s="490">
        <v>4</v>
      </c>
      <c r="M350" s="490">
        <v>2</v>
      </c>
      <c r="N350" s="522"/>
    </row>
    <row r="351" spans="1:14" s="523" customFormat="1" ht="15">
      <c r="A351" s="522"/>
      <c r="B351" s="494" t="s">
        <v>2045</v>
      </c>
      <c r="C351" s="489">
        <v>8.56</v>
      </c>
      <c r="D351" s="489">
        <v>-67.25</v>
      </c>
      <c r="E351" s="490">
        <v>1992</v>
      </c>
      <c r="F351" s="495">
        <v>3</v>
      </c>
      <c r="G351" s="495" t="s">
        <v>2068</v>
      </c>
      <c r="H351" s="489">
        <v>8.3000000000000007</v>
      </c>
      <c r="I351" s="489">
        <v>93</v>
      </c>
      <c r="J351" s="489">
        <v>7.7</v>
      </c>
      <c r="K351" s="490">
        <v>1</v>
      </c>
      <c r="L351" s="490">
        <v>4</v>
      </c>
      <c r="M351" s="490">
        <v>1</v>
      </c>
      <c r="N351" s="522"/>
    </row>
    <row r="352" spans="1:14" s="523" customFormat="1" ht="15">
      <c r="A352" s="522"/>
      <c r="B352" s="494" t="s">
        <v>2045</v>
      </c>
      <c r="C352" s="489">
        <v>8.56</v>
      </c>
      <c r="D352" s="489">
        <v>-67.25</v>
      </c>
      <c r="E352" s="490">
        <v>1992</v>
      </c>
      <c r="F352" s="495">
        <v>3</v>
      </c>
      <c r="G352" s="495" t="s">
        <v>2068</v>
      </c>
      <c r="H352" s="489">
        <v>3.5</v>
      </c>
      <c r="I352" s="489">
        <v>94</v>
      </c>
      <c r="J352" s="489">
        <v>3.29</v>
      </c>
      <c r="K352" s="490">
        <v>1</v>
      </c>
      <c r="L352" s="490">
        <v>4</v>
      </c>
      <c r="M352" s="490">
        <v>1</v>
      </c>
      <c r="N352" s="522"/>
    </row>
    <row r="353" spans="1:14" s="523" customFormat="1" ht="15">
      <c r="A353" s="522"/>
      <c r="B353" s="494" t="s">
        <v>2045</v>
      </c>
      <c r="C353" s="489">
        <v>8.56</v>
      </c>
      <c r="D353" s="489">
        <v>-67.25</v>
      </c>
      <c r="E353" s="490">
        <v>1992</v>
      </c>
      <c r="F353" s="495">
        <v>3</v>
      </c>
      <c r="G353" s="495" t="s">
        <v>2068</v>
      </c>
      <c r="H353" s="489">
        <v>7.4</v>
      </c>
      <c r="I353" s="489">
        <v>83</v>
      </c>
      <c r="J353" s="489">
        <v>6.1</v>
      </c>
      <c r="K353" s="490">
        <v>1</v>
      </c>
      <c r="L353" s="490">
        <v>4</v>
      </c>
      <c r="M353" s="490">
        <v>1</v>
      </c>
      <c r="N353" s="522"/>
    </row>
    <row r="354" spans="1:14" s="523" customFormat="1" ht="15">
      <c r="A354" s="522"/>
      <c r="B354" s="494" t="s">
        <v>2045</v>
      </c>
      <c r="C354" s="489">
        <v>8.56</v>
      </c>
      <c r="D354" s="489">
        <v>-67.25</v>
      </c>
      <c r="E354" s="490">
        <v>1992</v>
      </c>
      <c r="F354" s="495">
        <v>3</v>
      </c>
      <c r="G354" s="495" t="s">
        <v>2068</v>
      </c>
      <c r="H354" s="489">
        <v>8.5</v>
      </c>
      <c r="I354" s="489">
        <v>57</v>
      </c>
      <c r="J354" s="489">
        <v>4.8</v>
      </c>
      <c r="K354" s="490">
        <v>1</v>
      </c>
      <c r="L354" s="490">
        <v>4</v>
      </c>
      <c r="M354" s="490">
        <v>1</v>
      </c>
      <c r="N354" s="522"/>
    </row>
    <row r="355" spans="1:14" s="523" customFormat="1" ht="15">
      <c r="A355" s="522"/>
      <c r="B355" s="494" t="s">
        <v>2045</v>
      </c>
      <c r="C355" s="489">
        <v>8.56</v>
      </c>
      <c r="D355" s="489">
        <v>-67.25</v>
      </c>
      <c r="E355" s="490">
        <v>1992</v>
      </c>
      <c r="F355" s="495">
        <v>3</v>
      </c>
      <c r="G355" s="495" t="s">
        <v>2068</v>
      </c>
      <c r="H355" s="496">
        <v>6.9</v>
      </c>
      <c r="I355" s="496">
        <v>81.8</v>
      </c>
      <c r="J355" s="496">
        <v>5.5</v>
      </c>
      <c r="K355" s="490">
        <v>1</v>
      </c>
      <c r="L355" s="490">
        <v>4</v>
      </c>
      <c r="M355" s="490">
        <v>2</v>
      </c>
      <c r="N355" s="522"/>
    </row>
    <row r="356" spans="1:14" s="523" customFormat="1" ht="15">
      <c r="A356" s="522"/>
      <c r="B356" s="494" t="s">
        <v>1924</v>
      </c>
      <c r="C356" s="489">
        <v>-15.51</v>
      </c>
      <c r="D356" s="489">
        <v>-47.53</v>
      </c>
      <c r="E356" s="490">
        <v>1992</v>
      </c>
      <c r="F356" s="495" t="s">
        <v>273</v>
      </c>
      <c r="G356" s="495" t="s">
        <v>273</v>
      </c>
      <c r="H356" s="489">
        <v>7.2</v>
      </c>
      <c r="I356" s="489">
        <v>86</v>
      </c>
      <c r="J356" s="489">
        <v>6.2</v>
      </c>
      <c r="K356" s="490">
        <v>1</v>
      </c>
      <c r="L356" s="490">
        <v>4</v>
      </c>
      <c r="M356" s="490">
        <v>1</v>
      </c>
      <c r="N356" s="522"/>
    </row>
    <row r="357" spans="1:14" s="523" customFormat="1" ht="15">
      <c r="A357" s="522"/>
      <c r="B357" s="494" t="s">
        <v>1924</v>
      </c>
      <c r="C357" s="489">
        <v>-15.51</v>
      </c>
      <c r="D357" s="489">
        <v>-47.53</v>
      </c>
      <c r="E357" s="490">
        <v>1994</v>
      </c>
      <c r="F357" s="495" t="s">
        <v>273</v>
      </c>
      <c r="G357" s="495" t="s">
        <v>273</v>
      </c>
      <c r="H357" s="489">
        <v>9.4</v>
      </c>
      <c r="I357" s="489">
        <v>93</v>
      </c>
      <c r="J357" s="489">
        <v>8.8000000000000007</v>
      </c>
      <c r="K357" s="490">
        <v>1</v>
      </c>
      <c r="L357" s="490">
        <v>4</v>
      </c>
      <c r="M357" s="490">
        <v>1</v>
      </c>
      <c r="N357" s="522"/>
    </row>
    <row r="358" spans="1:14" s="523" customFormat="1" ht="15">
      <c r="A358" s="522"/>
      <c r="B358" s="494" t="s">
        <v>1924</v>
      </c>
      <c r="C358" s="489">
        <v>-15.51</v>
      </c>
      <c r="D358" s="489">
        <v>-47.53</v>
      </c>
      <c r="E358" s="493" t="s">
        <v>1925</v>
      </c>
      <c r="F358" s="493" t="s">
        <v>273</v>
      </c>
      <c r="G358" s="493" t="s">
        <v>273</v>
      </c>
      <c r="H358" s="489">
        <v>8.3000000000000007</v>
      </c>
      <c r="I358" s="489">
        <v>89.5</v>
      </c>
      <c r="J358" s="489">
        <v>7.5</v>
      </c>
      <c r="K358" s="490">
        <v>1</v>
      </c>
      <c r="L358" s="489">
        <v>4</v>
      </c>
      <c r="M358" s="490">
        <v>2</v>
      </c>
      <c r="N358" s="522"/>
    </row>
    <row r="359" spans="1:14" s="523" customFormat="1" ht="15">
      <c r="A359" s="522"/>
      <c r="B359" s="488" t="s">
        <v>1926</v>
      </c>
      <c r="C359" s="489">
        <v>-15.84</v>
      </c>
      <c r="D359" s="489">
        <v>-47.95</v>
      </c>
      <c r="E359" s="490">
        <v>1993</v>
      </c>
      <c r="F359" s="490">
        <v>10</v>
      </c>
      <c r="G359" s="490">
        <v>7</v>
      </c>
      <c r="H359" s="491">
        <v>5.5</v>
      </c>
      <c r="I359" s="489">
        <v>92</v>
      </c>
      <c r="J359" s="489">
        <v>5.0999999999999996</v>
      </c>
      <c r="K359" s="490">
        <v>1</v>
      </c>
      <c r="L359" s="490">
        <v>4</v>
      </c>
      <c r="M359" s="490">
        <v>1</v>
      </c>
      <c r="N359" s="522"/>
    </row>
    <row r="360" spans="1:14" s="523" customFormat="1" ht="15">
      <c r="A360" s="522"/>
      <c r="B360" s="488" t="s">
        <v>1926</v>
      </c>
      <c r="C360" s="489">
        <v>-15.84</v>
      </c>
      <c r="D360" s="489">
        <v>-47.95</v>
      </c>
      <c r="E360" s="490">
        <v>1993</v>
      </c>
      <c r="F360" s="490">
        <v>10</v>
      </c>
      <c r="G360" s="490">
        <v>7</v>
      </c>
      <c r="H360" s="491">
        <v>7.8</v>
      </c>
      <c r="I360" s="489">
        <v>97</v>
      </c>
      <c r="J360" s="489">
        <v>7.6</v>
      </c>
      <c r="K360" s="490">
        <v>1</v>
      </c>
      <c r="L360" s="490">
        <v>4</v>
      </c>
      <c r="M360" s="490">
        <v>1</v>
      </c>
      <c r="N360" s="522"/>
    </row>
    <row r="361" spans="1:14" s="523" customFormat="1" ht="15">
      <c r="A361" s="522"/>
      <c r="B361" s="488" t="s">
        <v>1926</v>
      </c>
      <c r="C361" s="489">
        <v>-15.84</v>
      </c>
      <c r="D361" s="489">
        <v>-47.95</v>
      </c>
      <c r="E361" s="490">
        <v>1993</v>
      </c>
      <c r="F361" s="490">
        <v>10</v>
      </c>
      <c r="G361" s="490">
        <v>7</v>
      </c>
      <c r="H361" s="491">
        <v>12.9</v>
      </c>
      <c r="I361" s="489">
        <v>92</v>
      </c>
      <c r="J361" s="489">
        <v>11.9</v>
      </c>
      <c r="K361" s="490">
        <v>1</v>
      </c>
      <c r="L361" s="490">
        <v>4</v>
      </c>
      <c r="M361" s="490">
        <v>1</v>
      </c>
      <c r="N361" s="522"/>
    </row>
    <row r="362" spans="1:14" s="523" customFormat="1" ht="15">
      <c r="A362" s="522"/>
      <c r="B362" s="488" t="s">
        <v>1926</v>
      </c>
      <c r="C362" s="489">
        <v>-15.84</v>
      </c>
      <c r="D362" s="489">
        <v>-47.95</v>
      </c>
      <c r="E362" s="490">
        <v>1993</v>
      </c>
      <c r="F362" s="490">
        <v>10</v>
      </c>
      <c r="G362" s="490">
        <v>7</v>
      </c>
      <c r="H362" s="491">
        <v>9.1999999999999993</v>
      </c>
      <c r="I362" s="489">
        <v>87</v>
      </c>
      <c r="J362" s="489">
        <v>8</v>
      </c>
      <c r="K362" s="490">
        <v>1</v>
      </c>
      <c r="L362" s="490">
        <v>4</v>
      </c>
      <c r="M362" s="490">
        <v>1</v>
      </c>
      <c r="N362" s="522"/>
    </row>
    <row r="363" spans="1:14" s="523" customFormat="1" ht="15">
      <c r="A363" s="522"/>
      <c r="B363" s="488" t="s">
        <v>1926</v>
      </c>
      <c r="C363" s="489">
        <v>-15.84</v>
      </c>
      <c r="D363" s="489">
        <v>-47.95</v>
      </c>
      <c r="E363" s="490">
        <v>1993</v>
      </c>
      <c r="F363" s="490">
        <v>10</v>
      </c>
      <c r="G363" s="490">
        <v>7</v>
      </c>
      <c r="H363" s="491">
        <v>8.9</v>
      </c>
      <c r="I363" s="489">
        <v>92</v>
      </c>
      <c r="J363" s="489">
        <v>8.1999999999999993</v>
      </c>
      <c r="K363" s="490">
        <v>1</v>
      </c>
      <c r="L363" s="490">
        <v>4</v>
      </c>
      <c r="M363" s="490">
        <v>2</v>
      </c>
      <c r="N363" s="522"/>
    </row>
    <row r="364" spans="1:14" s="523" customFormat="1" ht="15">
      <c r="A364" s="522"/>
      <c r="B364" s="488" t="s">
        <v>1927</v>
      </c>
      <c r="C364" s="489">
        <v>3.75</v>
      </c>
      <c r="D364" s="489">
        <v>-60.5</v>
      </c>
      <c r="E364" s="490" t="s">
        <v>1869</v>
      </c>
      <c r="F364" s="490">
        <v>1</v>
      </c>
      <c r="G364" s="490" t="s">
        <v>1046</v>
      </c>
      <c r="H364" s="491">
        <v>3.3</v>
      </c>
      <c r="I364" s="489">
        <v>81.900000000000006</v>
      </c>
      <c r="J364" s="489">
        <v>2.7</v>
      </c>
      <c r="K364" s="490">
        <v>1</v>
      </c>
      <c r="L364" s="490">
        <v>4</v>
      </c>
      <c r="M364" s="490">
        <v>1</v>
      </c>
      <c r="N364" s="522"/>
    </row>
    <row r="365" spans="1:14" s="523" customFormat="1" ht="15">
      <c r="A365" s="522"/>
      <c r="B365" s="488" t="s">
        <v>1928</v>
      </c>
      <c r="C365" s="489">
        <v>3.75</v>
      </c>
      <c r="D365" s="489">
        <v>-60.5</v>
      </c>
      <c r="E365" s="490" t="s">
        <v>1869</v>
      </c>
      <c r="F365" s="490">
        <v>1</v>
      </c>
      <c r="G365" s="490" t="s">
        <v>1046</v>
      </c>
      <c r="H365" s="491">
        <v>3.3</v>
      </c>
      <c r="I365" s="489">
        <v>76</v>
      </c>
      <c r="J365" s="489">
        <v>2.5</v>
      </c>
      <c r="K365" s="490">
        <v>1</v>
      </c>
      <c r="L365" s="490">
        <v>4</v>
      </c>
      <c r="M365" s="490">
        <v>1</v>
      </c>
      <c r="N365" s="522"/>
    </row>
    <row r="366" spans="1:14" s="523" customFormat="1" ht="15">
      <c r="A366" s="522"/>
      <c r="B366" s="488" t="s">
        <v>1928</v>
      </c>
      <c r="C366" s="489">
        <v>3.75</v>
      </c>
      <c r="D366" s="489">
        <v>-60.5</v>
      </c>
      <c r="E366" s="490" t="s">
        <v>1869</v>
      </c>
      <c r="F366" s="490">
        <v>1</v>
      </c>
      <c r="G366" s="490" t="s">
        <v>1046</v>
      </c>
      <c r="H366" s="491">
        <v>8</v>
      </c>
      <c r="I366" s="489">
        <v>49</v>
      </c>
      <c r="J366" s="489">
        <v>3.9</v>
      </c>
      <c r="K366" s="490">
        <v>1</v>
      </c>
      <c r="L366" s="490">
        <v>4</v>
      </c>
      <c r="M366" s="490">
        <v>1</v>
      </c>
      <c r="N366" s="522"/>
    </row>
    <row r="367" spans="1:14" s="523" customFormat="1" ht="15">
      <c r="A367" s="522"/>
      <c r="B367" s="488" t="s">
        <v>1928</v>
      </c>
      <c r="C367" s="489">
        <v>3.75</v>
      </c>
      <c r="D367" s="489">
        <v>-60.5</v>
      </c>
      <c r="E367" s="490" t="s">
        <v>1869</v>
      </c>
      <c r="F367" s="490">
        <v>1</v>
      </c>
      <c r="G367" s="490" t="s">
        <v>1046</v>
      </c>
      <c r="H367" s="491">
        <v>11.7</v>
      </c>
      <c r="I367" s="489">
        <v>16</v>
      </c>
      <c r="J367" s="489">
        <v>1.9</v>
      </c>
      <c r="K367" s="490">
        <v>1</v>
      </c>
      <c r="L367" s="490">
        <v>4</v>
      </c>
      <c r="M367" s="490">
        <v>1</v>
      </c>
      <c r="N367" s="522"/>
    </row>
    <row r="368" spans="1:14" s="523" customFormat="1" ht="15">
      <c r="A368" s="522"/>
      <c r="B368" s="488" t="s">
        <v>1928</v>
      </c>
      <c r="C368" s="489">
        <v>3.75</v>
      </c>
      <c r="D368" s="489">
        <v>-60.5</v>
      </c>
      <c r="E368" s="490" t="s">
        <v>1869</v>
      </c>
      <c r="F368" s="490">
        <v>1</v>
      </c>
      <c r="G368" s="490" t="s">
        <v>1046</v>
      </c>
      <c r="H368" s="491">
        <v>1.6</v>
      </c>
      <c r="I368" s="489">
        <v>88</v>
      </c>
      <c r="J368" s="489">
        <v>1.4</v>
      </c>
      <c r="K368" s="490">
        <v>1</v>
      </c>
      <c r="L368" s="490">
        <v>4</v>
      </c>
      <c r="M368" s="490">
        <v>1</v>
      </c>
      <c r="N368" s="522"/>
    </row>
    <row r="369" spans="1:14" s="523" customFormat="1" ht="15">
      <c r="A369" s="522"/>
      <c r="B369" s="488" t="s">
        <v>1928</v>
      </c>
      <c r="C369" s="489">
        <v>3.75</v>
      </c>
      <c r="D369" s="489">
        <v>-60.5</v>
      </c>
      <c r="E369" s="490" t="s">
        <v>1869</v>
      </c>
      <c r="F369" s="490">
        <v>1</v>
      </c>
      <c r="G369" s="490" t="s">
        <v>1046</v>
      </c>
      <c r="H369" s="491">
        <v>4.0999999999999996</v>
      </c>
      <c r="I369" s="489">
        <v>62</v>
      </c>
      <c r="J369" s="489">
        <v>2.5</v>
      </c>
      <c r="K369" s="490">
        <v>1</v>
      </c>
      <c r="L369" s="490">
        <v>4</v>
      </c>
      <c r="M369" s="490">
        <v>1</v>
      </c>
      <c r="N369" s="522"/>
    </row>
    <row r="370" spans="1:14" s="523" customFormat="1" ht="15">
      <c r="A370" s="522"/>
      <c r="B370" s="488" t="s">
        <v>1928</v>
      </c>
      <c r="C370" s="489">
        <v>3.75</v>
      </c>
      <c r="D370" s="489">
        <v>-60.5</v>
      </c>
      <c r="E370" s="490" t="s">
        <v>1869</v>
      </c>
      <c r="F370" s="490">
        <v>1</v>
      </c>
      <c r="G370" s="490" t="s">
        <v>1046</v>
      </c>
      <c r="H370" s="491">
        <v>6.1</v>
      </c>
      <c r="I370" s="489">
        <v>59</v>
      </c>
      <c r="J370" s="489">
        <v>3.6</v>
      </c>
      <c r="K370" s="490">
        <v>1</v>
      </c>
      <c r="L370" s="490">
        <v>4</v>
      </c>
      <c r="M370" s="490">
        <v>1</v>
      </c>
      <c r="N370" s="522"/>
    </row>
    <row r="371" spans="1:14" s="523" customFormat="1" ht="15">
      <c r="A371" s="522"/>
      <c r="B371" s="488" t="s">
        <v>1928</v>
      </c>
      <c r="C371" s="489">
        <v>3.75</v>
      </c>
      <c r="D371" s="489">
        <v>-60.5</v>
      </c>
      <c r="E371" s="490" t="s">
        <v>1869</v>
      </c>
      <c r="F371" s="490">
        <v>1</v>
      </c>
      <c r="G371" s="490" t="s">
        <v>1046</v>
      </c>
      <c r="H371" s="491">
        <v>10.3</v>
      </c>
      <c r="I371" s="489">
        <v>19</v>
      </c>
      <c r="J371" s="489">
        <v>2</v>
      </c>
      <c r="K371" s="490">
        <v>1</v>
      </c>
      <c r="L371" s="490">
        <v>4</v>
      </c>
      <c r="M371" s="490">
        <v>1</v>
      </c>
      <c r="N371" s="522"/>
    </row>
    <row r="372" spans="1:14" s="523" customFormat="1" ht="15">
      <c r="A372" s="522"/>
      <c r="B372" s="488" t="s">
        <v>1928</v>
      </c>
      <c r="C372" s="489">
        <v>3.75</v>
      </c>
      <c r="D372" s="489">
        <v>-60.5</v>
      </c>
      <c r="E372" s="490" t="s">
        <v>1869</v>
      </c>
      <c r="F372" s="490">
        <v>1</v>
      </c>
      <c r="G372" s="490" t="s">
        <v>1046</v>
      </c>
      <c r="H372" s="491">
        <v>6.1</v>
      </c>
      <c r="I372" s="490">
        <v>56.4</v>
      </c>
      <c r="J372" s="490">
        <v>2.6</v>
      </c>
      <c r="K372" s="490">
        <v>1</v>
      </c>
      <c r="L372" s="490">
        <v>4</v>
      </c>
      <c r="M372" s="490">
        <v>2</v>
      </c>
      <c r="N372" s="522"/>
    </row>
    <row r="373" spans="1:14" s="523" customFormat="1" ht="15">
      <c r="A373" s="522"/>
      <c r="B373" s="488" t="s">
        <v>1929</v>
      </c>
      <c r="C373" s="490">
        <v>-12.4</v>
      </c>
      <c r="D373" s="490">
        <v>132.5</v>
      </c>
      <c r="E373" s="490">
        <v>1991</v>
      </c>
      <c r="F373" s="490">
        <v>6</v>
      </c>
      <c r="G373" s="490" t="s">
        <v>273</v>
      </c>
      <c r="H373" s="490">
        <v>6.3</v>
      </c>
      <c r="I373" s="497">
        <f>(630-38)/630*100</f>
        <v>93.968253968253961</v>
      </c>
      <c r="J373" s="490">
        <v>5.9</v>
      </c>
      <c r="K373" s="490">
        <v>1</v>
      </c>
      <c r="L373" s="490">
        <v>4</v>
      </c>
      <c r="M373" s="490">
        <v>1</v>
      </c>
      <c r="N373" s="522"/>
    </row>
    <row r="374" spans="1:14" s="523" customFormat="1" ht="15">
      <c r="A374" s="522"/>
      <c r="B374" s="488" t="s">
        <v>1930</v>
      </c>
      <c r="C374" s="490">
        <v>-12.4</v>
      </c>
      <c r="D374" s="490">
        <v>132.5</v>
      </c>
      <c r="E374" s="490">
        <v>1991</v>
      </c>
      <c r="F374" s="490">
        <v>6</v>
      </c>
      <c r="G374" s="490" t="s">
        <v>273</v>
      </c>
      <c r="H374" s="490">
        <v>4.2</v>
      </c>
      <c r="I374" s="497">
        <f>(415-30)/415*100</f>
        <v>92.771084337349393</v>
      </c>
      <c r="J374" s="490">
        <v>3.9</v>
      </c>
      <c r="K374" s="490">
        <v>1</v>
      </c>
      <c r="L374" s="490">
        <v>4</v>
      </c>
      <c r="M374" s="490">
        <v>1</v>
      </c>
      <c r="N374" s="522"/>
    </row>
    <row r="375" spans="1:14" s="523" customFormat="1" ht="15">
      <c r="A375" s="522"/>
      <c r="B375" s="488" t="s">
        <v>1930</v>
      </c>
      <c r="C375" s="490">
        <v>-12.4</v>
      </c>
      <c r="D375" s="490">
        <v>132.5</v>
      </c>
      <c r="E375" s="490">
        <v>1991</v>
      </c>
      <c r="F375" s="490">
        <v>6</v>
      </c>
      <c r="G375" s="490" t="s">
        <v>273</v>
      </c>
      <c r="H375" s="490">
        <v>3.8</v>
      </c>
      <c r="I375" s="497">
        <f>(380-24)/380*100</f>
        <v>93.684210526315795</v>
      </c>
      <c r="J375" s="490">
        <v>3.6</v>
      </c>
      <c r="K375" s="490">
        <v>1</v>
      </c>
      <c r="L375" s="490">
        <v>4</v>
      </c>
      <c r="M375" s="490">
        <v>1</v>
      </c>
      <c r="N375" s="522"/>
    </row>
    <row r="376" spans="1:14" s="523" customFormat="1" ht="15">
      <c r="A376" s="522"/>
      <c r="B376" s="488" t="s">
        <v>1930</v>
      </c>
      <c r="C376" s="490">
        <v>-12.4</v>
      </c>
      <c r="D376" s="490">
        <v>132.5</v>
      </c>
      <c r="E376" s="490">
        <v>1991</v>
      </c>
      <c r="F376" s="490">
        <v>6</v>
      </c>
      <c r="G376" s="490" t="s">
        <v>273</v>
      </c>
      <c r="H376" s="490">
        <v>4.8</v>
      </c>
      <c r="I376" s="497">
        <v>93.5</v>
      </c>
      <c r="J376" s="490">
        <v>4.5</v>
      </c>
      <c r="K376" s="490">
        <v>1</v>
      </c>
      <c r="L376" s="490">
        <v>4</v>
      </c>
      <c r="M376" s="490">
        <v>2</v>
      </c>
      <c r="N376" s="522"/>
    </row>
    <row r="377" spans="1:14" s="523" customFormat="1" ht="15">
      <c r="A377" s="522"/>
      <c r="B377" s="494" t="s">
        <v>1931</v>
      </c>
      <c r="C377" s="489">
        <v>-12.3</v>
      </c>
      <c r="D377" s="489">
        <v>133</v>
      </c>
      <c r="E377" s="489">
        <v>1991</v>
      </c>
      <c r="F377" s="489">
        <v>9</v>
      </c>
      <c r="G377" s="489" t="s">
        <v>273</v>
      </c>
      <c r="H377" s="491">
        <v>5.6</v>
      </c>
      <c r="I377" s="489">
        <v>91</v>
      </c>
      <c r="J377" s="490">
        <v>5.0999999999999996</v>
      </c>
      <c r="K377" s="490">
        <v>1</v>
      </c>
      <c r="L377" s="490">
        <v>4</v>
      </c>
      <c r="M377" s="490">
        <v>3</v>
      </c>
      <c r="N377" s="522"/>
    </row>
    <row r="378" spans="1:14" s="523" customFormat="1" ht="15">
      <c r="A378" s="522"/>
      <c r="B378" s="488" t="s">
        <v>40</v>
      </c>
      <c r="C378" s="489">
        <v>-12.43</v>
      </c>
      <c r="D378" s="489">
        <v>131.49</v>
      </c>
      <c r="E378" s="490">
        <v>2005</v>
      </c>
      <c r="F378" s="490">
        <v>6</v>
      </c>
      <c r="G378" s="490" t="s">
        <v>1046</v>
      </c>
      <c r="H378" s="491">
        <v>2.9</v>
      </c>
      <c r="I378" s="490">
        <v>90.5</v>
      </c>
      <c r="J378" s="490">
        <v>2.4</v>
      </c>
      <c r="K378" s="490">
        <v>1</v>
      </c>
      <c r="L378" s="490">
        <v>4</v>
      </c>
      <c r="M378" s="490">
        <v>3</v>
      </c>
      <c r="N378" s="522"/>
    </row>
    <row r="379" spans="1:14" s="523" customFormat="1" ht="15">
      <c r="A379" s="522"/>
      <c r="B379" s="488" t="s">
        <v>2086</v>
      </c>
      <c r="C379" s="490">
        <v>-12.38</v>
      </c>
      <c r="D379" s="490">
        <v>133.55000000000001</v>
      </c>
      <c r="E379" s="490">
        <v>2004</v>
      </c>
      <c r="F379" s="490" t="s">
        <v>273</v>
      </c>
      <c r="G379" s="490" t="s">
        <v>273</v>
      </c>
      <c r="H379" s="491">
        <v>3.6</v>
      </c>
      <c r="I379" s="490">
        <v>43.5</v>
      </c>
      <c r="J379" s="490">
        <v>1.4</v>
      </c>
      <c r="K379" s="490">
        <v>1</v>
      </c>
      <c r="L379" s="490">
        <v>4</v>
      </c>
      <c r="M379" s="490">
        <v>3</v>
      </c>
      <c r="N379" s="522"/>
    </row>
    <row r="380" spans="1:14" s="523" customFormat="1" ht="15">
      <c r="A380" s="522"/>
      <c r="B380" s="488" t="s">
        <v>2087</v>
      </c>
      <c r="C380" s="490">
        <v>-12.38</v>
      </c>
      <c r="D380" s="490">
        <v>133.55000000000001</v>
      </c>
      <c r="E380" s="490">
        <v>2009</v>
      </c>
      <c r="F380" s="490">
        <v>7</v>
      </c>
      <c r="G380" s="490" t="s">
        <v>1801</v>
      </c>
      <c r="H380" s="491">
        <v>8.5</v>
      </c>
      <c r="I380" s="491">
        <v>38.700000000000003</v>
      </c>
      <c r="J380" s="490">
        <v>4.8</v>
      </c>
      <c r="K380" s="490">
        <v>1</v>
      </c>
      <c r="L380" s="490">
        <v>4</v>
      </c>
      <c r="M380" s="490">
        <v>3</v>
      </c>
      <c r="N380" s="522"/>
    </row>
    <row r="381" spans="1:14" s="523" customFormat="1" ht="15">
      <c r="A381" s="522"/>
      <c r="B381" s="498" t="s">
        <v>2088</v>
      </c>
      <c r="C381" s="489">
        <v>17.649999999999999</v>
      </c>
      <c r="D381" s="489">
        <v>81.75</v>
      </c>
      <c r="E381" s="490">
        <v>2000</v>
      </c>
      <c r="F381" s="490">
        <v>5</v>
      </c>
      <c r="G381" s="490">
        <v>5</v>
      </c>
      <c r="H381" s="491">
        <v>42</v>
      </c>
      <c r="I381" s="490">
        <v>20.2</v>
      </c>
      <c r="J381" s="490">
        <v>8.5</v>
      </c>
      <c r="K381" s="490">
        <v>1</v>
      </c>
      <c r="L381" s="490">
        <v>4</v>
      </c>
      <c r="M381" s="490">
        <v>1</v>
      </c>
      <c r="N381" s="522"/>
    </row>
    <row r="382" spans="1:14" s="523" customFormat="1" ht="15">
      <c r="A382" s="522"/>
      <c r="B382" s="498" t="s">
        <v>2088</v>
      </c>
      <c r="C382" s="489">
        <v>17.649999999999999</v>
      </c>
      <c r="D382" s="489">
        <v>81.75</v>
      </c>
      <c r="E382" s="490">
        <v>2000</v>
      </c>
      <c r="F382" s="490">
        <v>5</v>
      </c>
      <c r="G382" s="490">
        <v>8</v>
      </c>
      <c r="H382" s="491">
        <v>30</v>
      </c>
      <c r="I382" s="490">
        <v>16.100000000000001</v>
      </c>
      <c r="J382" s="490">
        <v>4.8</v>
      </c>
      <c r="K382" s="490">
        <v>1</v>
      </c>
      <c r="L382" s="490">
        <v>4</v>
      </c>
      <c r="M382" s="490">
        <v>1</v>
      </c>
      <c r="N382" s="522"/>
    </row>
    <row r="383" spans="1:14" s="523" customFormat="1" ht="15">
      <c r="A383" s="522"/>
      <c r="B383" s="498" t="s">
        <v>2088</v>
      </c>
      <c r="C383" s="489">
        <v>17.649999999999999</v>
      </c>
      <c r="D383" s="489">
        <v>81.75</v>
      </c>
      <c r="E383" s="490">
        <v>2000</v>
      </c>
      <c r="F383" s="490">
        <v>5</v>
      </c>
      <c r="G383" s="490">
        <v>10</v>
      </c>
      <c r="H383" s="491">
        <v>32</v>
      </c>
      <c r="I383" s="490">
        <v>31</v>
      </c>
      <c r="J383" s="490">
        <v>9.9</v>
      </c>
      <c r="K383" s="490">
        <v>1</v>
      </c>
      <c r="L383" s="490">
        <v>4</v>
      </c>
      <c r="M383" s="490">
        <v>1</v>
      </c>
      <c r="N383" s="522"/>
    </row>
    <row r="384" spans="1:14" s="523" customFormat="1" ht="15">
      <c r="A384" s="522"/>
      <c r="B384" s="498" t="s">
        <v>2088</v>
      </c>
      <c r="C384" s="489">
        <v>17.649999999999999</v>
      </c>
      <c r="D384" s="489">
        <v>81.75</v>
      </c>
      <c r="E384" s="491">
        <v>2000</v>
      </c>
      <c r="F384" s="491">
        <v>5</v>
      </c>
      <c r="G384" s="493" t="s">
        <v>2089</v>
      </c>
      <c r="H384" s="491">
        <v>34.700000000000003</v>
      </c>
      <c r="I384" s="490">
        <v>22.4</v>
      </c>
      <c r="J384" s="490">
        <v>7.7</v>
      </c>
      <c r="K384" s="490">
        <v>1</v>
      </c>
      <c r="L384" s="490">
        <v>4</v>
      </c>
      <c r="M384" s="490">
        <v>2</v>
      </c>
      <c r="N384" s="522"/>
    </row>
    <row r="385" spans="1:14" s="523" customFormat="1" ht="15">
      <c r="A385" s="522"/>
      <c r="B385" s="498" t="s">
        <v>2175</v>
      </c>
      <c r="C385" s="489" t="s">
        <v>1046</v>
      </c>
      <c r="D385" s="489" t="s">
        <v>1046</v>
      </c>
      <c r="E385" s="491" t="s">
        <v>1046</v>
      </c>
      <c r="F385" s="491" t="s">
        <v>1046</v>
      </c>
      <c r="G385" s="493" t="s">
        <v>1046</v>
      </c>
      <c r="H385" s="491">
        <v>128</v>
      </c>
      <c r="I385" s="490" t="s">
        <v>1046</v>
      </c>
      <c r="J385" s="490" t="s">
        <v>1046</v>
      </c>
      <c r="K385" s="490">
        <v>9</v>
      </c>
      <c r="L385" s="490">
        <v>4</v>
      </c>
      <c r="M385" s="490">
        <v>1</v>
      </c>
      <c r="N385" s="522"/>
    </row>
    <row r="386" spans="1:14" s="523" customFormat="1" ht="15">
      <c r="A386" s="522"/>
      <c r="B386" s="514" t="s">
        <v>1920</v>
      </c>
      <c r="C386" s="515">
        <v>18.350000000000001</v>
      </c>
      <c r="D386" s="515">
        <v>-95.05</v>
      </c>
      <c r="E386" s="516">
        <v>1980</v>
      </c>
      <c r="F386" s="516" t="s">
        <v>273</v>
      </c>
      <c r="G386" s="516" t="s">
        <v>273</v>
      </c>
      <c r="H386" s="516">
        <v>23</v>
      </c>
      <c r="I386" s="517" t="s">
        <v>273</v>
      </c>
      <c r="J386" s="517" t="s">
        <v>273</v>
      </c>
      <c r="K386" s="515">
        <v>6</v>
      </c>
      <c r="L386" s="517">
        <v>4</v>
      </c>
      <c r="M386" s="515">
        <v>3</v>
      </c>
      <c r="N386" s="522"/>
    </row>
    <row r="387" spans="1:14" s="523" customFormat="1" ht="15">
      <c r="A387" s="522"/>
      <c r="B387" s="514" t="s">
        <v>2161</v>
      </c>
      <c r="C387" s="515">
        <v>14</v>
      </c>
      <c r="D387" s="515">
        <v>100.05</v>
      </c>
      <c r="E387" s="516" t="s">
        <v>2162</v>
      </c>
      <c r="F387" s="516" t="s">
        <v>2163</v>
      </c>
      <c r="G387" s="516" t="s">
        <v>2165</v>
      </c>
      <c r="H387" s="516" t="s">
        <v>2168</v>
      </c>
      <c r="I387" s="517" t="s">
        <v>1046</v>
      </c>
      <c r="J387" s="517" t="s">
        <v>1046</v>
      </c>
      <c r="K387" s="515">
        <v>6</v>
      </c>
      <c r="L387" s="517">
        <v>4</v>
      </c>
      <c r="M387" s="515">
        <v>1</v>
      </c>
      <c r="N387" s="522"/>
    </row>
    <row r="388" spans="1:14" s="523" customFormat="1" ht="15">
      <c r="A388" s="522"/>
      <c r="B388" s="514" t="s">
        <v>2161</v>
      </c>
      <c r="C388" s="515">
        <v>14</v>
      </c>
      <c r="D388" s="515">
        <v>100.05</v>
      </c>
      <c r="E388" s="516" t="s">
        <v>2162</v>
      </c>
      <c r="F388" s="516" t="s">
        <v>2163</v>
      </c>
      <c r="G388" s="516" t="s">
        <v>2166</v>
      </c>
      <c r="H388" s="516" t="s">
        <v>2169</v>
      </c>
      <c r="I388" s="517" t="s">
        <v>1046</v>
      </c>
      <c r="J388" s="517" t="s">
        <v>1046</v>
      </c>
      <c r="K388" s="515">
        <v>6</v>
      </c>
      <c r="L388" s="517">
        <v>4</v>
      </c>
      <c r="M388" s="515">
        <v>1</v>
      </c>
      <c r="N388" s="522"/>
    </row>
    <row r="389" spans="1:14" s="523" customFormat="1" ht="15">
      <c r="A389" s="522"/>
      <c r="B389" s="514" t="s">
        <v>2161</v>
      </c>
      <c r="C389" s="515">
        <v>14</v>
      </c>
      <c r="D389" s="515">
        <v>100.05</v>
      </c>
      <c r="E389" s="516" t="s">
        <v>2162</v>
      </c>
      <c r="F389" s="516" t="s">
        <v>2163</v>
      </c>
      <c r="G389" s="516" t="s">
        <v>2167</v>
      </c>
      <c r="H389" s="516" t="s">
        <v>2170</v>
      </c>
      <c r="I389" s="517" t="s">
        <v>1046</v>
      </c>
      <c r="J389" s="517" t="s">
        <v>1046</v>
      </c>
      <c r="K389" s="515">
        <v>6</v>
      </c>
      <c r="L389" s="517">
        <v>4</v>
      </c>
      <c r="M389" s="515">
        <v>1</v>
      </c>
      <c r="N389" s="522"/>
    </row>
    <row r="390" spans="1:14" s="523" customFormat="1" ht="15">
      <c r="A390" s="522"/>
      <c r="B390" s="514" t="s">
        <v>2161</v>
      </c>
      <c r="C390" s="515">
        <v>14</v>
      </c>
      <c r="D390" s="515">
        <v>100.05</v>
      </c>
      <c r="E390" s="516" t="s">
        <v>2162</v>
      </c>
      <c r="F390" s="516" t="s">
        <v>2163</v>
      </c>
      <c r="G390" s="516" t="s">
        <v>2167</v>
      </c>
      <c r="H390" s="516" t="s">
        <v>2170</v>
      </c>
      <c r="I390" s="517" t="s">
        <v>1046</v>
      </c>
      <c r="J390" s="517" t="s">
        <v>1046</v>
      </c>
      <c r="K390" s="515">
        <v>6</v>
      </c>
      <c r="L390" s="517">
        <v>4</v>
      </c>
      <c r="M390" s="515">
        <v>1</v>
      </c>
      <c r="N390" s="522"/>
    </row>
    <row r="391" spans="1:14" s="523" customFormat="1" ht="15">
      <c r="A391" s="522"/>
      <c r="B391" s="514" t="s">
        <v>2161</v>
      </c>
      <c r="C391" s="515">
        <v>14</v>
      </c>
      <c r="D391" s="515">
        <v>100.05</v>
      </c>
      <c r="E391" s="516" t="s">
        <v>2162</v>
      </c>
      <c r="F391" s="516" t="s">
        <v>2163</v>
      </c>
      <c r="G391" s="516" t="s">
        <v>2156</v>
      </c>
      <c r="H391" s="516" t="s">
        <v>2164</v>
      </c>
      <c r="I391" s="517" t="s">
        <v>1046</v>
      </c>
      <c r="J391" s="517" t="s">
        <v>1046</v>
      </c>
      <c r="K391" s="515">
        <v>6</v>
      </c>
      <c r="L391" s="517">
        <v>4</v>
      </c>
      <c r="M391" s="515">
        <v>2</v>
      </c>
      <c r="N391" s="522"/>
    </row>
    <row r="392" spans="1:14" s="523" customFormat="1" ht="15">
      <c r="A392" s="522"/>
      <c r="B392" s="514" t="s">
        <v>2175</v>
      </c>
      <c r="C392" s="515" t="s">
        <v>1046</v>
      </c>
      <c r="D392" s="515" t="s">
        <v>1046</v>
      </c>
      <c r="E392" s="516" t="s">
        <v>1046</v>
      </c>
      <c r="F392" s="516" t="s">
        <v>1046</v>
      </c>
      <c r="G392" s="516" t="s">
        <v>1046</v>
      </c>
      <c r="H392" s="516" t="s">
        <v>2176</v>
      </c>
      <c r="I392" s="517" t="s">
        <v>1046</v>
      </c>
      <c r="J392" s="517" t="s">
        <v>1046</v>
      </c>
      <c r="K392" s="515">
        <v>6</v>
      </c>
      <c r="L392" s="517">
        <v>4</v>
      </c>
      <c r="M392" s="515">
        <v>1</v>
      </c>
      <c r="N392" s="522"/>
    </row>
    <row r="393" spans="1:14" s="523" customFormat="1" ht="15">
      <c r="A393" s="522"/>
      <c r="B393" s="468" t="s">
        <v>2091</v>
      </c>
      <c r="C393" s="511">
        <v>19.5</v>
      </c>
      <c r="D393" s="511">
        <v>-105.05</v>
      </c>
      <c r="E393" s="469" t="s">
        <v>2092</v>
      </c>
      <c r="F393" s="512" t="s">
        <v>2093</v>
      </c>
      <c r="G393" s="513" t="s">
        <v>273</v>
      </c>
      <c r="H393" s="469">
        <v>93.9</v>
      </c>
      <c r="I393" s="469" t="s">
        <v>273</v>
      </c>
      <c r="J393" s="469" t="s">
        <v>273</v>
      </c>
      <c r="K393" s="469">
        <v>5</v>
      </c>
      <c r="L393" s="469">
        <v>4</v>
      </c>
      <c r="M393" s="469">
        <v>1</v>
      </c>
      <c r="N393" s="522"/>
    </row>
    <row r="394" spans="1:14" s="523" customFormat="1" ht="15">
      <c r="A394" s="522"/>
      <c r="B394" s="468" t="s">
        <v>2091</v>
      </c>
      <c r="C394" s="511">
        <v>19.5</v>
      </c>
      <c r="D394" s="511">
        <v>-105.05</v>
      </c>
      <c r="E394" s="469" t="s">
        <v>2092</v>
      </c>
      <c r="F394" s="512" t="s">
        <v>2093</v>
      </c>
      <c r="G394" s="513" t="s">
        <v>273</v>
      </c>
      <c r="H394" s="469">
        <v>116.3</v>
      </c>
      <c r="I394" s="469" t="s">
        <v>273</v>
      </c>
      <c r="J394" s="469" t="s">
        <v>273</v>
      </c>
      <c r="K394" s="469">
        <v>5</v>
      </c>
      <c r="L394" s="469">
        <v>4</v>
      </c>
      <c r="M394" s="469">
        <v>1</v>
      </c>
      <c r="N394" s="522"/>
    </row>
    <row r="395" spans="1:14" s="523" customFormat="1" ht="15">
      <c r="A395" s="522"/>
      <c r="B395" s="468" t="s">
        <v>2091</v>
      </c>
      <c r="C395" s="511">
        <v>19.5</v>
      </c>
      <c r="D395" s="511">
        <v>-105.05</v>
      </c>
      <c r="E395" s="469" t="s">
        <v>2092</v>
      </c>
      <c r="F395" s="512" t="s">
        <v>2093</v>
      </c>
      <c r="G395" s="469" t="s">
        <v>273</v>
      </c>
      <c r="H395" s="469">
        <v>126.5</v>
      </c>
      <c r="I395" s="469" t="s">
        <v>273</v>
      </c>
      <c r="J395" s="469" t="s">
        <v>273</v>
      </c>
      <c r="K395" s="469">
        <v>5</v>
      </c>
      <c r="L395" s="469">
        <v>4</v>
      </c>
      <c r="M395" s="469">
        <v>1</v>
      </c>
      <c r="N395" s="522"/>
    </row>
    <row r="396" spans="1:14" s="523" customFormat="1" ht="15">
      <c r="A396" s="522"/>
      <c r="B396" s="468" t="s">
        <v>2091</v>
      </c>
      <c r="C396" s="511">
        <v>19.5</v>
      </c>
      <c r="D396" s="511">
        <v>-105.05</v>
      </c>
      <c r="E396" s="469" t="s">
        <v>2092</v>
      </c>
      <c r="F396" s="512" t="s">
        <v>2093</v>
      </c>
      <c r="G396" s="513" t="s">
        <v>273</v>
      </c>
      <c r="H396" s="469">
        <v>31.4</v>
      </c>
      <c r="I396" s="469" t="s">
        <v>273</v>
      </c>
      <c r="J396" s="469" t="s">
        <v>273</v>
      </c>
      <c r="K396" s="469">
        <v>5</v>
      </c>
      <c r="L396" s="469">
        <v>4</v>
      </c>
      <c r="M396" s="469">
        <v>1</v>
      </c>
      <c r="N396" s="522"/>
    </row>
    <row r="397" spans="1:14" s="523" customFormat="1" ht="15">
      <c r="A397" s="522"/>
      <c r="B397" s="468" t="s">
        <v>2091</v>
      </c>
      <c r="C397" s="511">
        <v>19.5</v>
      </c>
      <c r="D397" s="511">
        <v>-105.05</v>
      </c>
      <c r="E397" s="469" t="s">
        <v>2092</v>
      </c>
      <c r="F397" s="512" t="s">
        <v>2093</v>
      </c>
      <c r="G397" s="513" t="s">
        <v>273</v>
      </c>
      <c r="H397" s="469">
        <v>34.4</v>
      </c>
      <c r="I397" s="469" t="s">
        <v>273</v>
      </c>
      <c r="J397" s="469" t="s">
        <v>273</v>
      </c>
      <c r="K397" s="469">
        <v>5</v>
      </c>
      <c r="L397" s="469">
        <v>4</v>
      </c>
      <c r="M397" s="469">
        <v>1</v>
      </c>
      <c r="N397" s="522"/>
    </row>
    <row r="398" spans="1:14" s="523" customFormat="1" ht="15">
      <c r="A398" s="522"/>
      <c r="B398" s="468" t="s">
        <v>2091</v>
      </c>
      <c r="C398" s="511">
        <v>19.5</v>
      </c>
      <c r="D398" s="511">
        <v>-105.05</v>
      </c>
      <c r="E398" s="469" t="s">
        <v>2092</v>
      </c>
      <c r="F398" s="512" t="s">
        <v>2093</v>
      </c>
      <c r="G398" s="513" t="s">
        <v>273</v>
      </c>
      <c r="H398" s="469">
        <v>22</v>
      </c>
      <c r="I398" s="469" t="s">
        <v>273</v>
      </c>
      <c r="J398" s="469" t="s">
        <v>273</v>
      </c>
      <c r="K398" s="469">
        <v>5</v>
      </c>
      <c r="L398" s="469">
        <v>4</v>
      </c>
      <c r="M398" s="469">
        <v>1</v>
      </c>
      <c r="N398" s="522"/>
    </row>
    <row r="399" spans="1:14" s="523" customFormat="1" ht="15">
      <c r="A399" s="522"/>
      <c r="B399" s="468" t="s">
        <v>2091</v>
      </c>
      <c r="C399" s="511">
        <v>19.5</v>
      </c>
      <c r="D399" s="511">
        <v>-105.05</v>
      </c>
      <c r="E399" s="469" t="s">
        <v>2092</v>
      </c>
      <c r="F399" s="512" t="s">
        <v>2093</v>
      </c>
      <c r="G399" s="513" t="s">
        <v>273</v>
      </c>
      <c r="H399" s="469">
        <v>19.899999999999999</v>
      </c>
      <c r="I399" s="469" t="s">
        <v>273</v>
      </c>
      <c r="J399" s="469" t="s">
        <v>273</v>
      </c>
      <c r="K399" s="469">
        <v>5</v>
      </c>
      <c r="L399" s="469">
        <v>4</v>
      </c>
      <c r="M399" s="469">
        <v>1</v>
      </c>
      <c r="N399" s="522"/>
    </row>
    <row r="400" spans="1:14" s="523" customFormat="1" ht="15">
      <c r="A400" s="522"/>
      <c r="B400" s="468" t="s">
        <v>2091</v>
      </c>
      <c r="C400" s="511">
        <v>19.5</v>
      </c>
      <c r="D400" s="511">
        <v>-105.05</v>
      </c>
      <c r="E400" s="469" t="s">
        <v>2092</v>
      </c>
      <c r="F400" s="512" t="s">
        <v>2093</v>
      </c>
      <c r="G400" s="513" t="s">
        <v>273</v>
      </c>
      <c r="H400" s="469">
        <v>63.5</v>
      </c>
      <c r="I400" s="469" t="s">
        <v>273</v>
      </c>
      <c r="J400" s="469" t="s">
        <v>273</v>
      </c>
      <c r="K400" s="469">
        <v>5</v>
      </c>
      <c r="L400" s="469">
        <v>4</v>
      </c>
      <c r="M400" s="469">
        <v>2</v>
      </c>
      <c r="N400" s="522"/>
    </row>
    <row r="401" spans="1:14" s="523" customFormat="1" ht="15">
      <c r="A401" s="522"/>
      <c r="B401" s="468" t="s">
        <v>1920</v>
      </c>
      <c r="C401" s="511">
        <v>18.350000000000001</v>
      </c>
      <c r="D401" s="511">
        <v>-95.05</v>
      </c>
      <c r="E401" s="512">
        <v>1980</v>
      </c>
      <c r="F401" s="512" t="s">
        <v>273</v>
      </c>
      <c r="G401" s="512" t="s">
        <v>273</v>
      </c>
      <c r="H401" s="512" t="s">
        <v>2094</v>
      </c>
      <c r="I401" s="469" t="s">
        <v>273</v>
      </c>
      <c r="J401" s="469" t="s">
        <v>273</v>
      </c>
      <c r="K401" s="511">
        <v>5</v>
      </c>
      <c r="L401" s="469">
        <v>4</v>
      </c>
      <c r="M401" s="511">
        <v>3</v>
      </c>
      <c r="N401" s="522"/>
    </row>
    <row r="402" spans="1:14" s="523" customFormat="1" ht="15">
      <c r="A402" s="522"/>
      <c r="B402" s="518" t="s">
        <v>2095</v>
      </c>
      <c r="C402" s="519">
        <v>25.8</v>
      </c>
      <c r="D402" s="519">
        <v>-80.7</v>
      </c>
      <c r="E402" s="520" t="s">
        <v>273</v>
      </c>
      <c r="F402" s="520" t="s">
        <v>273</v>
      </c>
      <c r="G402" s="520" t="s">
        <v>273</v>
      </c>
      <c r="H402" s="520">
        <v>75</v>
      </c>
      <c r="I402" s="520" t="s">
        <v>273</v>
      </c>
      <c r="J402" s="520" t="s">
        <v>273</v>
      </c>
      <c r="K402" s="519">
        <v>3</v>
      </c>
      <c r="L402" s="520">
        <v>4</v>
      </c>
      <c r="M402" s="520">
        <v>1</v>
      </c>
      <c r="N402" s="522"/>
    </row>
    <row r="403" spans="1:14" s="523" customFormat="1" ht="15">
      <c r="A403" s="522"/>
      <c r="B403" s="518" t="s">
        <v>2095</v>
      </c>
      <c r="C403" s="519">
        <v>25.8</v>
      </c>
      <c r="D403" s="519">
        <v>-80.7</v>
      </c>
      <c r="E403" s="520" t="s">
        <v>273</v>
      </c>
      <c r="F403" s="520" t="s">
        <v>273</v>
      </c>
      <c r="G403" s="520" t="s">
        <v>273</v>
      </c>
      <c r="H403" s="520">
        <v>90</v>
      </c>
      <c r="I403" s="520" t="s">
        <v>273</v>
      </c>
      <c r="J403" s="520" t="s">
        <v>273</v>
      </c>
      <c r="K403" s="519">
        <v>3</v>
      </c>
      <c r="L403" s="520">
        <v>4</v>
      </c>
      <c r="M403" s="520">
        <v>1</v>
      </c>
      <c r="N403" s="522"/>
    </row>
    <row r="404" spans="1:14" s="523" customFormat="1" ht="15">
      <c r="A404" s="522"/>
      <c r="B404" s="518" t="s">
        <v>2095</v>
      </c>
      <c r="C404" s="519">
        <v>25.8</v>
      </c>
      <c r="D404" s="519">
        <v>-80.7</v>
      </c>
      <c r="E404" s="520" t="s">
        <v>273</v>
      </c>
      <c r="F404" s="520" t="s">
        <v>273</v>
      </c>
      <c r="G404" s="520" t="s">
        <v>273</v>
      </c>
      <c r="H404" s="520">
        <v>82.5</v>
      </c>
      <c r="I404" s="520" t="s">
        <v>273</v>
      </c>
      <c r="J404" s="520" t="s">
        <v>273</v>
      </c>
      <c r="K404" s="519">
        <v>3</v>
      </c>
      <c r="L404" s="520">
        <v>4</v>
      </c>
      <c r="M404" s="520">
        <v>2</v>
      </c>
      <c r="N404" s="522"/>
    </row>
    <row r="405" spans="1:14" s="523" customFormat="1" ht="15">
      <c r="A405" s="522"/>
      <c r="B405" s="518" t="s">
        <v>2107</v>
      </c>
      <c r="C405" s="520">
        <v>-33.47</v>
      </c>
      <c r="D405" s="520">
        <v>150.33000000000001</v>
      </c>
      <c r="E405" s="521" t="s">
        <v>273</v>
      </c>
      <c r="F405" s="521" t="s">
        <v>273</v>
      </c>
      <c r="G405" s="521" t="s">
        <v>273</v>
      </c>
      <c r="H405" s="520">
        <v>17.5</v>
      </c>
      <c r="I405" s="521" t="s">
        <v>273</v>
      </c>
      <c r="J405" s="521" t="s">
        <v>273</v>
      </c>
      <c r="K405" s="520">
        <v>3</v>
      </c>
      <c r="L405" s="520">
        <v>4</v>
      </c>
      <c r="M405" s="520">
        <v>3</v>
      </c>
      <c r="N405" s="522"/>
    </row>
    <row r="406" spans="1:14" s="523" customFormat="1" ht="15">
      <c r="A406" s="522"/>
      <c r="B406" s="518" t="s">
        <v>1967</v>
      </c>
      <c r="C406" s="519">
        <v>24.73</v>
      </c>
      <c r="D406" s="519">
        <v>-81.400000000000006</v>
      </c>
      <c r="E406" s="520">
        <v>2000</v>
      </c>
      <c r="F406" s="520" t="s">
        <v>1046</v>
      </c>
      <c r="G406" s="520" t="s">
        <v>1046</v>
      </c>
      <c r="H406" s="520">
        <v>60.6</v>
      </c>
      <c r="I406" s="520" t="s">
        <v>273</v>
      </c>
      <c r="J406" s="520" t="s">
        <v>273</v>
      </c>
      <c r="K406" s="519">
        <v>3</v>
      </c>
      <c r="L406" s="520">
        <v>4</v>
      </c>
      <c r="M406" s="520">
        <v>1</v>
      </c>
      <c r="N406" s="522"/>
    </row>
    <row r="407" spans="1:14" s="523" customFormat="1" ht="15">
      <c r="A407" s="522"/>
      <c r="B407" s="461" t="s">
        <v>2108</v>
      </c>
      <c r="C407" s="460">
        <v>-12.27</v>
      </c>
      <c r="D407" s="460">
        <v>130.52000000000001</v>
      </c>
      <c r="E407" s="478" t="s">
        <v>273</v>
      </c>
      <c r="F407" s="478" t="s">
        <v>273</v>
      </c>
      <c r="G407" s="478" t="s">
        <v>273</v>
      </c>
      <c r="H407" s="460">
        <v>32.1</v>
      </c>
      <c r="I407" s="478" t="s">
        <v>273</v>
      </c>
      <c r="J407" s="478" t="s">
        <v>273</v>
      </c>
      <c r="K407" s="460">
        <v>2</v>
      </c>
      <c r="L407" s="460">
        <v>4</v>
      </c>
      <c r="M407" s="460">
        <v>1</v>
      </c>
      <c r="N407" s="522"/>
    </row>
    <row r="408" spans="1:14" s="523" customFormat="1" ht="15">
      <c r="A408" s="522"/>
      <c r="B408" s="461" t="s">
        <v>2108</v>
      </c>
      <c r="C408" s="460">
        <v>-12.27</v>
      </c>
      <c r="D408" s="460">
        <v>130.52000000000001</v>
      </c>
      <c r="E408" s="478" t="s">
        <v>1046</v>
      </c>
      <c r="F408" s="478" t="s">
        <v>1046</v>
      </c>
      <c r="G408" s="478" t="s">
        <v>1046</v>
      </c>
      <c r="H408" s="460">
        <v>27.7</v>
      </c>
      <c r="I408" s="478" t="s">
        <v>1046</v>
      </c>
      <c r="J408" s="478" t="s">
        <v>1046</v>
      </c>
      <c r="K408" s="460">
        <v>2</v>
      </c>
      <c r="L408" s="460">
        <v>4</v>
      </c>
      <c r="M408" s="460">
        <v>1</v>
      </c>
      <c r="N408" s="522"/>
    </row>
    <row r="409" spans="1:14" s="523" customFormat="1" ht="15">
      <c r="A409" s="522"/>
      <c r="B409" s="461" t="s">
        <v>2108</v>
      </c>
      <c r="C409" s="460">
        <v>-12.27</v>
      </c>
      <c r="D409" s="460">
        <v>130.52000000000001</v>
      </c>
      <c r="E409" s="478" t="s">
        <v>1046</v>
      </c>
      <c r="F409" s="478" t="s">
        <v>1046</v>
      </c>
      <c r="G409" s="478" t="s">
        <v>1046</v>
      </c>
      <c r="H409" s="460">
        <v>26.3</v>
      </c>
      <c r="I409" s="478" t="s">
        <v>1046</v>
      </c>
      <c r="J409" s="478" t="s">
        <v>1046</v>
      </c>
      <c r="K409" s="460">
        <v>2</v>
      </c>
      <c r="L409" s="460">
        <v>4</v>
      </c>
      <c r="M409" s="460">
        <v>1</v>
      </c>
      <c r="N409" s="522"/>
    </row>
    <row r="410" spans="1:14" s="523" customFormat="1" ht="15">
      <c r="A410" s="522"/>
      <c r="B410" s="461" t="s">
        <v>2108</v>
      </c>
      <c r="C410" s="460">
        <v>-12.27</v>
      </c>
      <c r="D410" s="460">
        <v>130.52000000000001</v>
      </c>
      <c r="E410" s="478" t="s">
        <v>1046</v>
      </c>
      <c r="F410" s="478" t="s">
        <v>1046</v>
      </c>
      <c r="G410" s="478" t="s">
        <v>1046</v>
      </c>
      <c r="H410" s="460">
        <v>24</v>
      </c>
      <c r="I410" s="478" t="s">
        <v>1046</v>
      </c>
      <c r="J410" s="478" t="s">
        <v>1046</v>
      </c>
      <c r="K410" s="460">
        <v>2</v>
      </c>
      <c r="L410" s="460">
        <v>4</v>
      </c>
      <c r="M410" s="460">
        <v>1</v>
      </c>
      <c r="N410" s="522"/>
    </row>
    <row r="411" spans="1:14" s="523" customFormat="1" ht="15">
      <c r="A411" s="522"/>
      <c r="B411" s="461" t="s">
        <v>2108</v>
      </c>
      <c r="C411" s="460">
        <v>-12.27</v>
      </c>
      <c r="D411" s="460">
        <v>130.52000000000001</v>
      </c>
      <c r="E411" s="478" t="s">
        <v>1046</v>
      </c>
      <c r="F411" s="478" t="s">
        <v>1046</v>
      </c>
      <c r="G411" s="478" t="s">
        <v>1046</v>
      </c>
      <c r="H411" s="460">
        <v>22</v>
      </c>
      <c r="I411" s="478" t="s">
        <v>1046</v>
      </c>
      <c r="J411" s="478" t="s">
        <v>1046</v>
      </c>
      <c r="K411" s="460">
        <v>2</v>
      </c>
      <c r="L411" s="460">
        <v>4</v>
      </c>
      <c r="M411" s="460">
        <v>1</v>
      </c>
      <c r="N411" s="522"/>
    </row>
    <row r="412" spans="1:14" s="523" customFormat="1" ht="15">
      <c r="A412" s="522"/>
      <c r="B412" s="461" t="s">
        <v>2108</v>
      </c>
      <c r="C412" s="460">
        <v>-12.27</v>
      </c>
      <c r="D412" s="460">
        <v>130.52000000000001</v>
      </c>
      <c r="E412" s="478" t="s">
        <v>1046</v>
      </c>
      <c r="F412" s="478" t="s">
        <v>1046</v>
      </c>
      <c r="G412" s="478" t="s">
        <v>1046</v>
      </c>
      <c r="H412" s="460">
        <v>20</v>
      </c>
      <c r="I412" s="478" t="s">
        <v>1046</v>
      </c>
      <c r="J412" s="478" t="s">
        <v>1046</v>
      </c>
      <c r="K412" s="460">
        <v>2</v>
      </c>
      <c r="L412" s="460">
        <v>4</v>
      </c>
      <c r="M412" s="460">
        <v>1</v>
      </c>
      <c r="N412" s="522"/>
    </row>
    <row r="413" spans="1:14" s="523" customFormat="1" ht="15">
      <c r="A413" s="522"/>
      <c r="B413" s="461" t="s">
        <v>2108</v>
      </c>
      <c r="C413" s="460">
        <v>-12.27</v>
      </c>
      <c r="D413" s="460">
        <v>130.52000000000001</v>
      </c>
      <c r="E413" s="478" t="s">
        <v>1046</v>
      </c>
      <c r="F413" s="478" t="s">
        <v>1046</v>
      </c>
      <c r="G413" s="478" t="s">
        <v>1046</v>
      </c>
      <c r="H413" s="460">
        <v>1.5</v>
      </c>
      <c r="I413" s="478" t="s">
        <v>1046</v>
      </c>
      <c r="J413" s="478" t="s">
        <v>1046</v>
      </c>
      <c r="K413" s="460">
        <v>2</v>
      </c>
      <c r="L413" s="460">
        <v>4</v>
      </c>
      <c r="M413" s="460">
        <v>1</v>
      </c>
      <c r="N413" s="522"/>
    </row>
    <row r="414" spans="1:14" s="523" customFormat="1" ht="15">
      <c r="A414" s="522"/>
      <c r="B414" s="461" t="s">
        <v>2108</v>
      </c>
      <c r="C414" s="460">
        <v>-12.27</v>
      </c>
      <c r="D414" s="460">
        <v>130.52000000000001</v>
      </c>
      <c r="E414" s="478" t="s">
        <v>1046</v>
      </c>
      <c r="F414" s="478" t="s">
        <v>1046</v>
      </c>
      <c r="G414" s="478" t="s">
        <v>1046</v>
      </c>
      <c r="H414" s="460">
        <v>21.9</v>
      </c>
      <c r="I414" s="478" t="s">
        <v>1046</v>
      </c>
      <c r="J414" s="478" t="s">
        <v>1046</v>
      </c>
      <c r="K414" s="460">
        <v>2</v>
      </c>
      <c r="L414" s="460">
        <v>4</v>
      </c>
      <c r="M414" s="460">
        <v>2</v>
      </c>
      <c r="N414" s="522"/>
    </row>
    <row r="415" spans="1:14" s="523" customFormat="1" ht="15">
      <c r="A415" s="522"/>
      <c r="B415" s="461" t="s">
        <v>2109</v>
      </c>
      <c r="C415" s="460">
        <v>-12.38</v>
      </c>
      <c r="D415" s="460">
        <v>133.55000000000001</v>
      </c>
      <c r="E415" s="478" t="s">
        <v>273</v>
      </c>
      <c r="F415" s="478" t="s">
        <v>273</v>
      </c>
      <c r="G415" s="478" t="s">
        <v>273</v>
      </c>
      <c r="H415" s="460">
        <f>8.9+1.4+30.3+0</f>
        <v>40.6</v>
      </c>
      <c r="I415" s="478" t="s">
        <v>273</v>
      </c>
      <c r="J415" s="478" t="s">
        <v>273</v>
      </c>
      <c r="K415" s="460">
        <v>2</v>
      </c>
      <c r="L415" s="460">
        <v>4</v>
      </c>
      <c r="M415" s="460">
        <v>1</v>
      </c>
      <c r="N415" s="522"/>
    </row>
    <row r="416" spans="1:14" s="523" customFormat="1" ht="15">
      <c r="A416" s="522"/>
      <c r="B416" s="461" t="s">
        <v>2109</v>
      </c>
      <c r="C416" s="460">
        <v>-12.38</v>
      </c>
      <c r="D416" s="460">
        <v>133.55000000000001</v>
      </c>
      <c r="E416" s="478" t="s">
        <v>273</v>
      </c>
      <c r="F416" s="478" t="s">
        <v>273</v>
      </c>
      <c r="G416" s="478" t="s">
        <v>273</v>
      </c>
      <c r="H416" s="460">
        <f>8.4+1.4+28.4+0.1</f>
        <v>38.300000000000004</v>
      </c>
      <c r="I416" s="478" t="s">
        <v>273</v>
      </c>
      <c r="J416" s="478" t="s">
        <v>273</v>
      </c>
      <c r="K416" s="460">
        <v>2</v>
      </c>
      <c r="L416" s="460">
        <v>4</v>
      </c>
      <c r="M416" s="460">
        <v>1</v>
      </c>
      <c r="N416" s="522"/>
    </row>
    <row r="417" spans="1:14" s="523" customFormat="1" ht="15">
      <c r="A417" s="522"/>
      <c r="B417" s="461" t="s">
        <v>2109</v>
      </c>
      <c r="C417" s="460">
        <v>-12.38</v>
      </c>
      <c r="D417" s="460">
        <v>133.55000000000001</v>
      </c>
      <c r="E417" s="478" t="s">
        <v>273</v>
      </c>
      <c r="F417" s="478" t="s">
        <v>273</v>
      </c>
      <c r="G417" s="478" t="s">
        <v>273</v>
      </c>
      <c r="H417" s="460">
        <f>7.8+1.4+26+0.2</f>
        <v>35.400000000000006</v>
      </c>
      <c r="I417" s="478" t="s">
        <v>273</v>
      </c>
      <c r="J417" s="478" t="s">
        <v>273</v>
      </c>
      <c r="K417" s="460">
        <v>2</v>
      </c>
      <c r="L417" s="460">
        <v>4</v>
      </c>
      <c r="M417" s="460">
        <v>1</v>
      </c>
      <c r="N417" s="522"/>
    </row>
    <row r="418" spans="1:14" s="523" customFormat="1" ht="15">
      <c r="A418" s="522"/>
      <c r="B418" s="461" t="s">
        <v>2109</v>
      </c>
      <c r="C418" s="460">
        <v>-12.38</v>
      </c>
      <c r="D418" s="460">
        <v>133.55000000000001</v>
      </c>
      <c r="E418" s="478" t="s">
        <v>273</v>
      </c>
      <c r="F418" s="478" t="s">
        <v>273</v>
      </c>
      <c r="G418" s="478" t="s">
        <v>273</v>
      </c>
      <c r="H418" s="460">
        <f>7+1.3+23+0.4</f>
        <v>31.7</v>
      </c>
      <c r="I418" s="478" t="s">
        <v>273</v>
      </c>
      <c r="J418" s="478" t="s">
        <v>273</v>
      </c>
      <c r="K418" s="460">
        <v>2</v>
      </c>
      <c r="L418" s="460">
        <v>4</v>
      </c>
      <c r="M418" s="460">
        <v>1</v>
      </c>
      <c r="N418" s="522"/>
    </row>
    <row r="419" spans="1:14" s="523" customFormat="1" ht="15">
      <c r="A419" s="522"/>
      <c r="B419" s="461" t="s">
        <v>2109</v>
      </c>
      <c r="C419" s="460">
        <v>-12.38</v>
      </c>
      <c r="D419" s="460">
        <v>133.55000000000001</v>
      </c>
      <c r="E419" s="478" t="s">
        <v>273</v>
      </c>
      <c r="F419" s="478" t="s">
        <v>273</v>
      </c>
      <c r="G419" s="478" t="s">
        <v>273</v>
      </c>
      <c r="H419" s="460">
        <f>5.9+1.3+18.7+0.6</f>
        <v>26.5</v>
      </c>
      <c r="I419" s="478" t="s">
        <v>273</v>
      </c>
      <c r="J419" s="478" t="s">
        <v>273</v>
      </c>
      <c r="K419" s="460">
        <v>2</v>
      </c>
      <c r="L419" s="460">
        <v>4</v>
      </c>
      <c r="M419" s="460">
        <v>1</v>
      </c>
      <c r="N419" s="522"/>
    </row>
    <row r="420" spans="1:14" s="523" customFormat="1" ht="15">
      <c r="A420" s="522"/>
      <c r="B420" s="461" t="s">
        <v>2109</v>
      </c>
      <c r="C420" s="460">
        <v>-12.38</v>
      </c>
      <c r="D420" s="460">
        <v>133.55000000000001</v>
      </c>
      <c r="E420" s="478" t="s">
        <v>273</v>
      </c>
      <c r="F420" s="478" t="s">
        <v>273</v>
      </c>
      <c r="G420" s="478" t="s">
        <v>273</v>
      </c>
      <c r="H420" s="460">
        <f>4+1.3+11.5+0.9</f>
        <v>17.7</v>
      </c>
      <c r="I420" s="478" t="s">
        <v>273</v>
      </c>
      <c r="J420" s="478" t="s">
        <v>273</v>
      </c>
      <c r="K420" s="460">
        <v>2</v>
      </c>
      <c r="L420" s="460">
        <v>4</v>
      </c>
      <c r="M420" s="460">
        <v>1</v>
      </c>
      <c r="N420" s="522"/>
    </row>
    <row r="421" spans="1:14" s="523" customFormat="1" ht="15">
      <c r="A421" s="522"/>
      <c r="B421" s="461" t="s">
        <v>2109</v>
      </c>
      <c r="C421" s="460">
        <v>-12.38</v>
      </c>
      <c r="D421" s="460">
        <v>133.55000000000001</v>
      </c>
      <c r="E421" s="478" t="s">
        <v>273</v>
      </c>
      <c r="F421" s="478" t="s">
        <v>273</v>
      </c>
      <c r="G421" s="478" t="s">
        <v>273</v>
      </c>
      <c r="H421" s="460">
        <f>AVERAGE(H415:H420)</f>
        <v>31.7</v>
      </c>
      <c r="I421" s="478" t="s">
        <v>273</v>
      </c>
      <c r="J421" s="478" t="s">
        <v>273</v>
      </c>
      <c r="K421" s="460">
        <v>2</v>
      </c>
      <c r="L421" s="460">
        <v>4</v>
      </c>
      <c r="M421" s="460">
        <v>2</v>
      </c>
      <c r="N421" s="522"/>
    </row>
    <row r="422" spans="1:14" s="523" customFormat="1" ht="15">
      <c r="A422" s="522"/>
      <c r="B422" s="506" t="s">
        <v>2110</v>
      </c>
      <c r="C422" s="492">
        <v>-26</v>
      </c>
      <c r="D422" s="492">
        <v>31.07</v>
      </c>
      <c r="E422" s="492">
        <v>1992</v>
      </c>
      <c r="F422" s="492">
        <v>7</v>
      </c>
      <c r="G422" s="492">
        <v>15</v>
      </c>
      <c r="H422" s="492">
        <v>2.8</v>
      </c>
      <c r="I422" s="490" t="s">
        <v>273</v>
      </c>
      <c r="J422" s="490" t="s">
        <v>273</v>
      </c>
      <c r="K422" s="490">
        <v>1</v>
      </c>
      <c r="L422" s="490">
        <v>4</v>
      </c>
      <c r="M422" s="490">
        <v>3</v>
      </c>
      <c r="N422" s="522"/>
    </row>
    <row r="423" spans="1:14" s="523" customFormat="1" ht="15">
      <c r="A423" s="522"/>
      <c r="B423" s="506" t="s">
        <v>2110</v>
      </c>
      <c r="C423" s="492">
        <v>-15.83</v>
      </c>
      <c r="D423" s="492">
        <v>23.3</v>
      </c>
      <c r="E423" s="492">
        <v>1994</v>
      </c>
      <c r="F423" s="492">
        <v>7</v>
      </c>
      <c r="G423" s="492">
        <v>11</v>
      </c>
      <c r="H423" s="492">
        <v>3.3</v>
      </c>
      <c r="I423" s="490" t="s">
        <v>273</v>
      </c>
      <c r="J423" s="490" t="s">
        <v>273</v>
      </c>
      <c r="K423" s="490">
        <v>1</v>
      </c>
      <c r="L423" s="490">
        <v>4</v>
      </c>
      <c r="M423" s="490">
        <v>3</v>
      </c>
      <c r="N423" s="522"/>
    </row>
    <row r="424" spans="1:14" s="523" customFormat="1" ht="15">
      <c r="A424" s="522"/>
      <c r="B424" s="506" t="s">
        <v>2110</v>
      </c>
      <c r="C424" s="492">
        <v>-25.08</v>
      </c>
      <c r="D424" s="492">
        <v>30.48</v>
      </c>
      <c r="E424" s="492">
        <v>1992</v>
      </c>
      <c r="F424" s="492">
        <v>7</v>
      </c>
      <c r="G424" s="492">
        <v>15</v>
      </c>
      <c r="H424" s="492">
        <v>6.5</v>
      </c>
      <c r="I424" s="490" t="s">
        <v>273</v>
      </c>
      <c r="J424" s="490" t="s">
        <v>273</v>
      </c>
      <c r="K424" s="490">
        <v>1</v>
      </c>
      <c r="L424" s="490">
        <v>4</v>
      </c>
      <c r="M424" s="490">
        <v>3</v>
      </c>
      <c r="N424" s="522"/>
    </row>
    <row r="425" spans="1:14" s="523" customFormat="1" ht="15">
      <c r="A425" s="522"/>
      <c r="B425" s="506" t="s">
        <v>2110</v>
      </c>
      <c r="C425" s="492">
        <v>-24.47</v>
      </c>
      <c r="D425" s="492">
        <v>30.8</v>
      </c>
      <c r="E425" s="492">
        <v>1992</v>
      </c>
      <c r="F425" s="492">
        <v>7</v>
      </c>
      <c r="G425" s="492">
        <v>15</v>
      </c>
      <c r="H425" s="492">
        <v>4.0999999999999996</v>
      </c>
      <c r="I425" s="490" t="s">
        <v>273</v>
      </c>
      <c r="J425" s="490" t="s">
        <v>273</v>
      </c>
      <c r="K425" s="490">
        <v>1</v>
      </c>
      <c r="L425" s="490">
        <v>4</v>
      </c>
      <c r="M425" s="490">
        <v>3</v>
      </c>
      <c r="N425" s="522"/>
    </row>
    <row r="426" spans="1:14" s="523" customFormat="1" ht="15">
      <c r="A426" s="522"/>
      <c r="B426" s="506" t="s">
        <v>2110</v>
      </c>
      <c r="C426" s="492">
        <v>-26.28</v>
      </c>
      <c r="D426" s="492">
        <v>28</v>
      </c>
      <c r="E426" s="492">
        <v>1992</v>
      </c>
      <c r="F426" s="492">
        <v>7</v>
      </c>
      <c r="G426" s="492">
        <v>15</v>
      </c>
      <c r="H426" s="492">
        <v>2.2000000000000002</v>
      </c>
      <c r="I426" s="490" t="s">
        <v>273</v>
      </c>
      <c r="J426" s="490" t="s">
        <v>273</v>
      </c>
      <c r="K426" s="490">
        <v>1</v>
      </c>
      <c r="L426" s="490">
        <v>4</v>
      </c>
      <c r="M426" s="490">
        <v>3</v>
      </c>
      <c r="N426" s="522"/>
    </row>
    <row r="427" spans="1:14" s="523" customFormat="1" ht="15">
      <c r="A427" s="522"/>
      <c r="B427" s="506" t="s">
        <v>2110</v>
      </c>
      <c r="C427" s="492">
        <v>-23.8</v>
      </c>
      <c r="D427" s="492">
        <v>32.53</v>
      </c>
      <c r="E427" s="492">
        <v>1996</v>
      </c>
      <c r="F427" s="492">
        <v>9</v>
      </c>
      <c r="G427" s="492">
        <v>1</v>
      </c>
      <c r="H427" s="492">
        <v>3</v>
      </c>
      <c r="I427" s="490" t="s">
        <v>273</v>
      </c>
      <c r="J427" s="490" t="s">
        <v>273</v>
      </c>
      <c r="K427" s="490">
        <v>1</v>
      </c>
      <c r="L427" s="490">
        <v>4</v>
      </c>
      <c r="M427" s="490">
        <v>3</v>
      </c>
      <c r="N427" s="522"/>
    </row>
    <row r="428" spans="1:14" s="523" customFormat="1" ht="15">
      <c r="A428" s="522"/>
      <c r="B428" s="506" t="s">
        <v>2110</v>
      </c>
      <c r="C428" s="492">
        <v>-23.8</v>
      </c>
      <c r="D428" s="492">
        <v>32.630000000000003</v>
      </c>
      <c r="E428" s="492">
        <v>1996</v>
      </c>
      <c r="F428" s="492">
        <v>9</v>
      </c>
      <c r="G428" s="492">
        <v>1</v>
      </c>
      <c r="H428" s="492">
        <v>6.1</v>
      </c>
      <c r="I428" s="490" t="s">
        <v>273</v>
      </c>
      <c r="J428" s="490" t="s">
        <v>273</v>
      </c>
      <c r="K428" s="490">
        <v>1</v>
      </c>
      <c r="L428" s="490">
        <v>4</v>
      </c>
      <c r="M428" s="490">
        <v>3</v>
      </c>
      <c r="N428" s="522"/>
    </row>
    <row r="429" spans="1:14" s="523" customFormat="1" ht="15">
      <c r="A429" s="522"/>
      <c r="B429" s="506" t="s">
        <v>2110</v>
      </c>
      <c r="C429" s="492">
        <v>-23.77</v>
      </c>
      <c r="D429" s="492">
        <v>32.619999999999997</v>
      </c>
      <c r="E429" s="492">
        <v>1996</v>
      </c>
      <c r="F429" s="492">
        <v>9</v>
      </c>
      <c r="G429" s="492">
        <v>1</v>
      </c>
      <c r="H429" s="492">
        <v>3</v>
      </c>
      <c r="I429" s="490" t="s">
        <v>273</v>
      </c>
      <c r="J429" s="490" t="s">
        <v>273</v>
      </c>
      <c r="K429" s="490">
        <v>1</v>
      </c>
      <c r="L429" s="490">
        <v>4</v>
      </c>
      <c r="M429" s="490">
        <v>3</v>
      </c>
      <c r="N429" s="522"/>
    </row>
    <row r="430" spans="1:14" s="523" customFormat="1" ht="15">
      <c r="A430" s="522"/>
      <c r="B430" s="506" t="s">
        <v>2110</v>
      </c>
      <c r="C430" s="492">
        <v>-23.82</v>
      </c>
      <c r="D430" s="492">
        <v>32.549999999999997</v>
      </c>
      <c r="E430" s="492">
        <v>1996</v>
      </c>
      <c r="F430" s="492">
        <v>9</v>
      </c>
      <c r="G430" s="492">
        <v>1</v>
      </c>
      <c r="H430" s="492">
        <v>6</v>
      </c>
      <c r="I430" s="490" t="s">
        <v>273</v>
      </c>
      <c r="J430" s="490" t="s">
        <v>273</v>
      </c>
      <c r="K430" s="490">
        <v>1</v>
      </c>
      <c r="L430" s="490">
        <v>4</v>
      </c>
      <c r="M430" s="490">
        <v>3</v>
      </c>
      <c r="N430" s="522"/>
    </row>
    <row r="431" spans="1:14" s="523" customFormat="1" ht="15">
      <c r="A431" s="522"/>
      <c r="B431" s="506" t="s">
        <v>2110</v>
      </c>
      <c r="C431" s="492">
        <v>-23.77</v>
      </c>
      <c r="D431" s="492">
        <v>32.549999999999997</v>
      </c>
      <c r="E431" s="492">
        <v>1996</v>
      </c>
      <c r="F431" s="492">
        <v>9</v>
      </c>
      <c r="G431" s="492">
        <v>1</v>
      </c>
      <c r="H431" s="492">
        <v>6.5</v>
      </c>
      <c r="I431" s="490" t="s">
        <v>273</v>
      </c>
      <c r="J431" s="490" t="s">
        <v>273</v>
      </c>
      <c r="K431" s="490">
        <v>1</v>
      </c>
      <c r="L431" s="490">
        <v>4</v>
      </c>
      <c r="M431" s="490">
        <v>3</v>
      </c>
      <c r="N431" s="522"/>
    </row>
    <row r="432" spans="1:14" s="523" customFormat="1" ht="15">
      <c r="A432" s="522"/>
      <c r="B432" s="506" t="s">
        <v>2110</v>
      </c>
      <c r="C432" s="492">
        <v>-19.62</v>
      </c>
      <c r="D432" s="492">
        <v>33.33</v>
      </c>
      <c r="E432" s="492">
        <v>1996</v>
      </c>
      <c r="F432" s="492">
        <v>9</v>
      </c>
      <c r="G432" s="492">
        <v>1</v>
      </c>
      <c r="H432" s="492">
        <v>6.3</v>
      </c>
      <c r="I432" s="490" t="s">
        <v>273</v>
      </c>
      <c r="J432" s="490" t="s">
        <v>273</v>
      </c>
      <c r="K432" s="490">
        <v>1</v>
      </c>
      <c r="L432" s="490">
        <v>4</v>
      </c>
      <c r="M432" s="490">
        <v>3</v>
      </c>
      <c r="N432" s="522"/>
    </row>
    <row r="433" spans="1:14" s="523" customFormat="1" ht="15">
      <c r="A433" s="522"/>
      <c r="B433" s="506" t="s">
        <v>2110</v>
      </c>
      <c r="C433" s="492">
        <v>-19.62</v>
      </c>
      <c r="D433" s="492">
        <v>33.32</v>
      </c>
      <c r="E433" s="492">
        <v>1996</v>
      </c>
      <c r="F433" s="492">
        <v>9</v>
      </c>
      <c r="G433" s="492">
        <v>1</v>
      </c>
      <c r="H433" s="492">
        <v>5.8</v>
      </c>
      <c r="I433" s="490" t="s">
        <v>273</v>
      </c>
      <c r="J433" s="490" t="s">
        <v>273</v>
      </c>
      <c r="K433" s="490">
        <v>1</v>
      </c>
      <c r="L433" s="490">
        <v>4</v>
      </c>
      <c r="M433" s="490">
        <v>3</v>
      </c>
      <c r="N433" s="522"/>
    </row>
    <row r="434" spans="1:14" s="523" customFormat="1" ht="15">
      <c r="A434" s="522"/>
      <c r="B434" s="506" t="s">
        <v>2110</v>
      </c>
      <c r="C434" s="492">
        <v>-19.63</v>
      </c>
      <c r="D434" s="492">
        <v>33.32</v>
      </c>
      <c r="E434" s="492">
        <v>1996</v>
      </c>
      <c r="F434" s="492">
        <v>9</v>
      </c>
      <c r="G434" s="492">
        <v>1</v>
      </c>
      <c r="H434" s="492">
        <v>6</v>
      </c>
      <c r="I434" s="490" t="s">
        <v>273</v>
      </c>
      <c r="J434" s="490" t="s">
        <v>273</v>
      </c>
      <c r="K434" s="490">
        <v>1</v>
      </c>
      <c r="L434" s="490">
        <v>4</v>
      </c>
      <c r="M434" s="490">
        <v>3</v>
      </c>
      <c r="N434" s="522"/>
    </row>
    <row r="435" spans="1:14" s="523" customFormat="1" ht="15">
      <c r="A435" s="522"/>
      <c r="B435" s="506" t="s">
        <v>2110</v>
      </c>
      <c r="C435" s="492">
        <v>-19.649999999999999</v>
      </c>
      <c r="D435" s="492">
        <v>33.32</v>
      </c>
      <c r="E435" s="492">
        <v>1996</v>
      </c>
      <c r="F435" s="492">
        <v>9</v>
      </c>
      <c r="G435" s="492">
        <v>1</v>
      </c>
      <c r="H435" s="492">
        <v>7.2</v>
      </c>
      <c r="I435" s="490" t="s">
        <v>273</v>
      </c>
      <c r="J435" s="490" t="s">
        <v>273</v>
      </c>
      <c r="K435" s="490">
        <v>1</v>
      </c>
      <c r="L435" s="490">
        <v>4</v>
      </c>
      <c r="M435" s="490">
        <v>3</v>
      </c>
      <c r="N435" s="522"/>
    </row>
    <row r="436" spans="1:14" s="523" customFormat="1" ht="15">
      <c r="A436" s="522"/>
      <c r="B436" s="506" t="s">
        <v>2110</v>
      </c>
      <c r="C436" s="492">
        <v>-19.649999999999999</v>
      </c>
      <c r="D436" s="492">
        <v>33.33</v>
      </c>
      <c r="E436" s="492">
        <v>1996</v>
      </c>
      <c r="F436" s="492">
        <v>9</v>
      </c>
      <c r="G436" s="492">
        <v>1</v>
      </c>
      <c r="H436" s="492">
        <v>5.6</v>
      </c>
      <c r="I436" s="490" t="s">
        <v>273</v>
      </c>
      <c r="J436" s="490" t="s">
        <v>273</v>
      </c>
      <c r="K436" s="490">
        <v>1</v>
      </c>
      <c r="L436" s="490">
        <v>4</v>
      </c>
      <c r="M436" s="490">
        <v>3</v>
      </c>
      <c r="N436" s="522"/>
    </row>
    <row r="437" spans="1:14" s="523" customFormat="1" ht="15">
      <c r="A437" s="522"/>
      <c r="B437" s="506" t="s">
        <v>2110</v>
      </c>
      <c r="C437" s="492">
        <v>-17.73</v>
      </c>
      <c r="D437" s="492">
        <v>31.03</v>
      </c>
      <c r="E437" s="492">
        <v>1996</v>
      </c>
      <c r="F437" s="492">
        <v>9</v>
      </c>
      <c r="G437" s="492">
        <v>10</v>
      </c>
      <c r="H437" s="492">
        <v>5.2</v>
      </c>
      <c r="I437" s="490" t="s">
        <v>273</v>
      </c>
      <c r="J437" s="490" t="s">
        <v>273</v>
      </c>
      <c r="K437" s="490">
        <v>1</v>
      </c>
      <c r="L437" s="490">
        <v>4</v>
      </c>
      <c r="M437" s="490">
        <v>3</v>
      </c>
      <c r="N437" s="522"/>
    </row>
    <row r="438" spans="1:14" s="523" customFormat="1" ht="15">
      <c r="A438" s="522"/>
      <c r="B438" s="506" t="s">
        <v>2110</v>
      </c>
      <c r="C438" s="492">
        <v>-18.18</v>
      </c>
      <c r="D438" s="492">
        <v>31.47</v>
      </c>
      <c r="E438" s="492">
        <v>1996</v>
      </c>
      <c r="F438" s="492">
        <v>9</v>
      </c>
      <c r="G438" s="492">
        <v>13</v>
      </c>
      <c r="H438" s="492">
        <v>12.2</v>
      </c>
      <c r="I438" s="490" t="s">
        <v>273</v>
      </c>
      <c r="J438" s="490" t="s">
        <v>273</v>
      </c>
      <c r="K438" s="490">
        <v>1</v>
      </c>
      <c r="L438" s="490">
        <v>4</v>
      </c>
      <c r="M438" s="490">
        <v>3</v>
      </c>
      <c r="N438" s="522"/>
    </row>
    <row r="439" spans="1:14" s="523" customFormat="1" ht="15">
      <c r="A439" s="522"/>
      <c r="B439" s="506" t="s">
        <v>2110</v>
      </c>
      <c r="C439" s="492">
        <v>-17.72</v>
      </c>
      <c r="D439" s="492">
        <v>31.02</v>
      </c>
      <c r="E439" s="492">
        <v>1996</v>
      </c>
      <c r="F439" s="492">
        <v>9</v>
      </c>
      <c r="G439" s="492">
        <v>17</v>
      </c>
      <c r="H439" s="492">
        <v>9.6999999999999993</v>
      </c>
      <c r="I439" s="490" t="s">
        <v>273</v>
      </c>
      <c r="J439" s="490" t="s">
        <v>273</v>
      </c>
      <c r="K439" s="490">
        <v>1</v>
      </c>
      <c r="L439" s="490">
        <v>4</v>
      </c>
      <c r="M439" s="490">
        <v>3</v>
      </c>
      <c r="N439" s="522"/>
    </row>
    <row r="440" spans="1:14" s="523" customFormat="1" ht="15">
      <c r="A440" s="522"/>
      <c r="B440" s="506" t="s">
        <v>2110</v>
      </c>
      <c r="C440" s="492">
        <v>-17.989999999999998</v>
      </c>
      <c r="D440" s="492">
        <v>31.19</v>
      </c>
      <c r="E440" s="492">
        <v>1996</v>
      </c>
      <c r="F440" s="492">
        <v>9</v>
      </c>
      <c r="G440" s="492">
        <v>19</v>
      </c>
      <c r="H440" s="492">
        <v>13.4</v>
      </c>
      <c r="I440" s="490" t="s">
        <v>273</v>
      </c>
      <c r="J440" s="490" t="s">
        <v>273</v>
      </c>
      <c r="K440" s="490">
        <v>1</v>
      </c>
      <c r="L440" s="490">
        <v>4</v>
      </c>
      <c r="M440" s="490">
        <v>3</v>
      </c>
      <c r="N440" s="522"/>
    </row>
    <row r="441" spans="1:14" s="523" customFormat="1" ht="15">
      <c r="A441" s="522"/>
      <c r="B441" s="506" t="s">
        <v>2110</v>
      </c>
      <c r="C441" s="492">
        <v>-17.059999999999999</v>
      </c>
      <c r="D441" s="492">
        <v>30.49</v>
      </c>
      <c r="E441" s="492">
        <v>1996</v>
      </c>
      <c r="F441" s="492">
        <v>9</v>
      </c>
      <c r="G441" s="492">
        <v>24</v>
      </c>
      <c r="H441" s="492">
        <v>7</v>
      </c>
      <c r="I441" s="490" t="s">
        <v>273</v>
      </c>
      <c r="J441" s="490" t="s">
        <v>273</v>
      </c>
      <c r="K441" s="490">
        <v>1</v>
      </c>
      <c r="L441" s="490">
        <v>4</v>
      </c>
      <c r="M441" s="490">
        <v>3</v>
      </c>
      <c r="N441" s="522"/>
    </row>
    <row r="442" spans="1:14" s="523" customFormat="1" ht="15">
      <c r="A442" s="522"/>
      <c r="B442" s="506" t="s">
        <v>2110</v>
      </c>
      <c r="C442" s="492">
        <v>-18.18</v>
      </c>
      <c r="D442" s="492">
        <v>31.47</v>
      </c>
      <c r="E442" s="492">
        <v>1996</v>
      </c>
      <c r="F442" s="492">
        <v>9</v>
      </c>
      <c r="G442" s="492">
        <v>26</v>
      </c>
      <c r="H442" s="492">
        <v>12.8</v>
      </c>
      <c r="I442" s="490" t="s">
        <v>273</v>
      </c>
      <c r="J442" s="490" t="s">
        <v>273</v>
      </c>
      <c r="K442" s="490">
        <v>1</v>
      </c>
      <c r="L442" s="490">
        <v>4</v>
      </c>
      <c r="M442" s="490">
        <v>3</v>
      </c>
      <c r="N442" s="522"/>
    </row>
    <row r="443" spans="1:14" s="523" customFormat="1" ht="15">
      <c r="A443" s="522"/>
      <c r="B443" s="506" t="s">
        <v>2110</v>
      </c>
      <c r="C443" s="492">
        <v>-17.59</v>
      </c>
      <c r="D443" s="492">
        <v>31</v>
      </c>
      <c r="E443" s="492">
        <v>1996</v>
      </c>
      <c r="F443" s="492">
        <v>10</v>
      </c>
      <c r="G443" s="492">
        <v>20</v>
      </c>
      <c r="H443" s="492">
        <v>7.8</v>
      </c>
      <c r="I443" s="490" t="s">
        <v>273</v>
      </c>
      <c r="J443" s="490" t="s">
        <v>273</v>
      </c>
      <c r="K443" s="490">
        <v>1</v>
      </c>
      <c r="L443" s="490">
        <v>4</v>
      </c>
      <c r="M443" s="490">
        <v>3</v>
      </c>
      <c r="N443" s="522"/>
    </row>
    <row r="444" spans="1:14" s="523" customFormat="1" ht="15">
      <c r="A444" s="522"/>
      <c r="B444" s="506" t="s">
        <v>2110</v>
      </c>
      <c r="C444" s="492">
        <v>-19.27</v>
      </c>
      <c r="D444" s="492">
        <v>30.44</v>
      </c>
      <c r="E444" s="492">
        <v>1996</v>
      </c>
      <c r="F444" s="492">
        <v>11</v>
      </c>
      <c r="G444" s="492">
        <v>7</v>
      </c>
      <c r="H444" s="492">
        <v>11.4</v>
      </c>
      <c r="I444" s="490" t="s">
        <v>273</v>
      </c>
      <c r="J444" s="490" t="s">
        <v>273</v>
      </c>
      <c r="K444" s="490">
        <v>1</v>
      </c>
      <c r="L444" s="490">
        <v>4</v>
      </c>
      <c r="M444" s="490">
        <v>3</v>
      </c>
      <c r="N444" s="522"/>
    </row>
    <row r="445" spans="1:14" s="523" customFormat="1" ht="15">
      <c r="A445" s="522"/>
      <c r="B445" s="506" t="s">
        <v>2110</v>
      </c>
      <c r="C445" s="492">
        <v>-20.85</v>
      </c>
      <c r="D445" s="492">
        <v>31.56</v>
      </c>
      <c r="E445" s="492">
        <v>1996</v>
      </c>
      <c r="F445" s="492">
        <v>11</v>
      </c>
      <c r="G445" s="492">
        <v>10</v>
      </c>
      <c r="H445" s="492">
        <v>6.7</v>
      </c>
      <c r="I445" s="490" t="s">
        <v>273</v>
      </c>
      <c r="J445" s="490" t="s">
        <v>273</v>
      </c>
      <c r="K445" s="490">
        <v>1</v>
      </c>
      <c r="L445" s="490">
        <v>4</v>
      </c>
      <c r="M445" s="490">
        <v>3</v>
      </c>
      <c r="N445" s="522"/>
    </row>
    <row r="446" spans="1:14" s="523" customFormat="1" ht="15">
      <c r="A446" s="522"/>
      <c r="B446" s="506" t="s">
        <v>2110</v>
      </c>
      <c r="C446" s="492">
        <v>-20.84</v>
      </c>
      <c r="D446" s="492">
        <v>31.56</v>
      </c>
      <c r="E446" s="492">
        <v>1996</v>
      </c>
      <c r="F446" s="492">
        <v>11</v>
      </c>
      <c r="G446" s="492">
        <v>12</v>
      </c>
      <c r="H446" s="492">
        <v>7.1</v>
      </c>
      <c r="I446" s="490" t="s">
        <v>273</v>
      </c>
      <c r="J446" s="490" t="s">
        <v>273</v>
      </c>
      <c r="K446" s="490">
        <v>1</v>
      </c>
      <c r="L446" s="490">
        <v>4</v>
      </c>
      <c r="M446" s="490">
        <v>3</v>
      </c>
      <c r="N446" s="522"/>
    </row>
    <row r="447" spans="1:14" s="523" customFormat="1" ht="15">
      <c r="A447" s="522"/>
      <c r="B447" s="506" t="s">
        <v>2110</v>
      </c>
      <c r="C447" s="492">
        <v>-27.5</v>
      </c>
      <c r="D447" s="492">
        <v>31.2</v>
      </c>
      <c r="E447" s="492">
        <v>1992</v>
      </c>
      <c r="F447" s="492">
        <v>7</v>
      </c>
      <c r="G447" s="492">
        <v>15</v>
      </c>
      <c r="H447" s="492">
        <v>1.9</v>
      </c>
      <c r="I447" s="490" t="s">
        <v>273</v>
      </c>
      <c r="J447" s="490" t="s">
        <v>273</v>
      </c>
      <c r="K447" s="490">
        <v>1</v>
      </c>
      <c r="L447" s="490">
        <v>4</v>
      </c>
      <c r="M447" s="490">
        <v>3</v>
      </c>
      <c r="N447" s="522"/>
    </row>
    <row r="448" spans="1:14" s="523" customFormat="1" ht="15">
      <c r="A448" s="522"/>
      <c r="B448" s="506" t="s">
        <v>2110</v>
      </c>
      <c r="C448" s="492">
        <v>-27.6</v>
      </c>
      <c r="D448" s="492">
        <v>32.22</v>
      </c>
      <c r="E448" s="492">
        <v>1992</v>
      </c>
      <c r="F448" s="492">
        <v>7</v>
      </c>
      <c r="G448" s="492">
        <v>15</v>
      </c>
      <c r="H448" s="492">
        <v>4.3</v>
      </c>
      <c r="I448" s="490" t="s">
        <v>273</v>
      </c>
      <c r="J448" s="490" t="s">
        <v>273</v>
      </c>
      <c r="K448" s="490">
        <v>1</v>
      </c>
      <c r="L448" s="490">
        <v>4</v>
      </c>
      <c r="M448" s="490">
        <v>3</v>
      </c>
      <c r="N448" s="522"/>
    </row>
    <row r="449" spans="1:14" s="523" customFormat="1" ht="15">
      <c r="A449" s="522"/>
      <c r="B449" s="506" t="s">
        <v>2110</v>
      </c>
      <c r="C449" s="492">
        <v>-28.85</v>
      </c>
      <c r="D449" s="492">
        <v>30</v>
      </c>
      <c r="E449" s="492">
        <v>1992</v>
      </c>
      <c r="F449" s="492">
        <v>7</v>
      </c>
      <c r="G449" s="492">
        <v>15</v>
      </c>
      <c r="H449" s="492">
        <v>1.1000000000000001</v>
      </c>
      <c r="I449" s="490" t="s">
        <v>273</v>
      </c>
      <c r="J449" s="490" t="s">
        <v>273</v>
      </c>
      <c r="K449" s="490">
        <v>1</v>
      </c>
      <c r="L449" s="490">
        <v>4</v>
      </c>
      <c r="M449" s="490">
        <v>3</v>
      </c>
      <c r="N449" s="522"/>
    </row>
    <row r="450" spans="1:14" s="523" customFormat="1" ht="15">
      <c r="A450" s="522"/>
      <c r="B450" s="506" t="s">
        <v>2110</v>
      </c>
      <c r="C450" s="492">
        <v>-25.4</v>
      </c>
      <c r="D450" s="492">
        <v>30.6</v>
      </c>
      <c r="E450" s="492">
        <v>1992</v>
      </c>
      <c r="F450" s="492">
        <v>7</v>
      </c>
      <c r="G450" s="492">
        <v>15</v>
      </c>
      <c r="H450" s="492">
        <v>6.9</v>
      </c>
      <c r="I450" s="490" t="s">
        <v>273</v>
      </c>
      <c r="J450" s="490" t="s">
        <v>273</v>
      </c>
      <c r="K450" s="490">
        <v>1</v>
      </c>
      <c r="L450" s="490">
        <v>4</v>
      </c>
      <c r="M450" s="490">
        <v>3</v>
      </c>
      <c r="N450" s="522"/>
    </row>
    <row r="451" spans="1:14" s="523" customFormat="1" ht="15">
      <c r="A451" s="522"/>
      <c r="B451" s="506" t="s">
        <v>2110</v>
      </c>
      <c r="C451" s="492">
        <v>-24.2</v>
      </c>
      <c r="D451" s="492">
        <v>31.13</v>
      </c>
      <c r="E451" s="492">
        <v>1992</v>
      </c>
      <c r="F451" s="492">
        <v>7</v>
      </c>
      <c r="G451" s="492">
        <v>15</v>
      </c>
      <c r="H451" s="492">
        <v>0.8</v>
      </c>
      <c r="I451" s="490" t="s">
        <v>273</v>
      </c>
      <c r="J451" s="490" t="s">
        <v>273</v>
      </c>
      <c r="K451" s="490">
        <v>1</v>
      </c>
      <c r="L451" s="490">
        <v>4</v>
      </c>
      <c r="M451" s="490">
        <v>3</v>
      </c>
      <c r="N451" s="522"/>
    </row>
    <row r="452" spans="1:14" s="523" customFormat="1" ht="15">
      <c r="A452" s="522"/>
      <c r="B452" s="506" t="s">
        <v>2110</v>
      </c>
      <c r="C452" s="492">
        <v>-23.65</v>
      </c>
      <c r="D452" s="492">
        <v>30.67</v>
      </c>
      <c r="E452" s="492">
        <v>1992</v>
      </c>
      <c r="F452" s="492">
        <v>7</v>
      </c>
      <c r="G452" s="492">
        <v>15</v>
      </c>
      <c r="H452" s="492">
        <v>2.7</v>
      </c>
      <c r="I452" s="490" t="s">
        <v>273</v>
      </c>
      <c r="J452" s="490" t="s">
        <v>273</v>
      </c>
      <c r="K452" s="490">
        <v>1</v>
      </c>
      <c r="L452" s="490">
        <v>4</v>
      </c>
      <c r="M452" s="490">
        <v>3</v>
      </c>
      <c r="N452" s="522"/>
    </row>
    <row r="453" spans="1:14" s="523" customFormat="1" ht="15">
      <c r="A453" s="522"/>
      <c r="B453" s="506" t="s">
        <v>2110</v>
      </c>
      <c r="C453" s="492">
        <v>-23.12</v>
      </c>
      <c r="D453" s="492">
        <v>29.93</v>
      </c>
      <c r="E453" s="492">
        <v>1992</v>
      </c>
      <c r="F453" s="492">
        <v>7</v>
      </c>
      <c r="G453" s="492">
        <v>15</v>
      </c>
      <c r="H453" s="492">
        <v>2.1</v>
      </c>
      <c r="I453" s="490" t="s">
        <v>273</v>
      </c>
      <c r="J453" s="490" t="s">
        <v>273</v>
      </c>
      <c r="K453" s="490">
        <v>1</v>
      </c>
      <c r="L453" s="490">
        <v>4</v>
      </c>
      <c r="M453" s="490">
        <v>3</v>
      </c>
      <c r="N453" s="522"/>
    </row>
    <row r="454" spans="1:14" s="523" customFormat="1" ht="15">
      <c r="A454" s="522"/>
      <c r="B454" s="506" t="s">
        <v>2110</v>
      </c>
      <c r="C454" s="492">
        <v>-22.38</v>
      </c>
      <c r="D454" s="492">
        <v>30.07</v>
      </c>
      <c r="E454" s="492">
        <v>1992</v>
      </c>
      <c r="F454" s="492">
        <v>7</v>
      </c>
      <c r="G454" s="492">
        <v>15</v>
      </c>
      <c r="H454" s="492">
        <v>1</v>
      </c>
      <c r="I454" s="490" t="s">
        <v>273</v>
      </c>
      <c r="J454" s="490" t="s">
        <v>273</v>
      </c>
      <c r="K454" s="490">
        <v>1</v>
      </c>
      <c r="L454" s="490">
        <v>4</v>
      </c>
      <c r="M454" s="490">
        <v>3</v>
      </c>
      <c r="N454" s="522"/>
    </row>
    <row r="455" spans="1:14" s="523" customFormat="1" ht="15">
      <c r="A455" s="522"/>
      <c r="B455" s="506" t="s">
        <v>2110</v>
      </c>
      <c r="C455" s="492">
        <v>-24.02</v>
      </c>
      <c r="D455" s="492">
        <v>29.15</v>
      </c>
      <c r="E455" s="492">
        <v>1992</v>
      </c>
      <c r="F455" s="492">
        <v>7</v>
      </c>
      <c r="G455" s="492">
        <v>15</v>
      </c>
      <c r="H455" s="492">
        <v>1.3</v>
      </c>
      <c r="I455" s="490" t="s">
        <v>273</v>
      </c>
      <c r="J455" s="490" t="s">
        <v>273</v>
      </c>
      <c r="K455" s="490">
        <v>1</v>
      </c>
      <c r="L455" s="490">
        <v>4</v>
      </c>
      <c r="M455" s="490">
        <v>3</v>
      </c>
      <c r="N455" s="522"/>
    </row>
    <row r="456" spans="1:14" s="523" customFormat="1" ht="15">
      <c r="A456" s="522"/>
      <c r="B456" s="506" t="s">
        <v>2110</v>
      </c>
      <c r="C456" s="492">
        <v>-23.87</v>
      </c>
      <c r="D456" s="492">
        <v>28.31</v>
      </c>
      <c r="E456" s="492">
        <v>1992</v>
      </c>
      <c r="F456" s="492">
        <v>7</v>
      </c>
      <c r="G456" s="492">
        <v>15</v>
      </c>
      <c r="H456" s="492">
        <v>2.2999999999999998</v>
      </c>
      <c r="I456" s="490" t="s">
        <v>273</v>
      </c>
      <c r="J456" s="490" t="s">
        <v>273</v>
      </c>
      <c r="K456" s="490">
        <v>1</v>
      </c>
      <c r="L456" s="490">
        <v>4</v>
      </c>
      <c r="M456" s="490">
        <v>3</v>
      </c>
      <c r="N456" s="522"/>
    </row>
    <row r="457" spans="1:14" s="523" customFormat="1" ht="15">
      <c r="A457" s="522"/>
      <c r="B457" s="506" t="s">
        <v>2110</v>
      </c>
      <c r="C457" s="492">
        <v>-24.65</v>
      </c>
      <c r="D457" s="492">
        <v>28.7</v>
      </c>
      <c r="E457" s="492">
        <v>1992</v>
      </c>
      <c r="F457" s="492">
        <v>7</v>
      </c>
      <c r="G457" s="492">
        <v>15</v>
      </c>
      <c r="H457" s="492">
        <v>4.0999999999999996</v>
      </c>
      <c r="I457" s="490" t="s">
        <v>273</v>
      </c>
      <c r="J457" s="490" t="s">
        <v>273</v>
      </c>
      <c r="K457" s="490">
        <v>1</v>
      </c>
      <c r="L457" s="490">
        <v>4</v>
      </c>
      <c r="M457" s="490">
        <v>3</v>
      </c>
      <c r="N457" s="522"/>
    </row>
    <row r="458" spans="1:14" s="523" customFormat="1" ht="15">
      <c r="A458" s="522"/>
      <c r="B458" s="506" t="s">
        <v>2110</v>
      </c>
      <c r="C458" s="492">
        <v>-25.53</v>
      </c>
      <c r="D458" s="492">
        <v>25.7</v>
      </c>
      <c r="E458" s="492">
        <v>1992</v>
      </c>
      <c r="F458" s="492">
        <v>7</v>
      </c>
      <c r="G458" s="492">
        <v>15</v>
      </c>
      <c r="H458" s="492">
        <v>1.5</v>
      </c>
      <c r="I458" s="490" t="s">
        <v>273</v>
      </c>
      <c r="J458" s="490" t="s">
        <v>273</v>
      </c>
      <c r="K458" s="490">
        <v>1</v>
      </c>
      <c r="L458" s="490">
        <v>4</v>
      </c>
      <c r="M458" s="490">
        <v>3</v>
      </c>
      <c r="N458" s="522"/>
    </row>
    <row r="459" spans="1:14" s="523" customFormat="1" ht="15">
      <c r="A459" s="522"/>
      <c r="B459" s="506" t="s">
        <v>2110</v>
      </c>
      <c r="C459" s="492">
        <v>-25.23</v>
      </c>
      <c r="D459" s="492">
        <v>27.2</v>
      </c>
      <c r="E459" s="492">
        <v>1992</v>
      </c>
      <c r="F459" s="492">
        <v>7</v>
      </c>
      <c r="G459" s="492">
        <v>15</v>
      </c>
      <c r="H459" s="492">
        <v>1</v>
      </c>
      <c r="I459" s="490" t="s">
        <v>273</v>
      </c>
      <c r="J459" s="490" t="s">
        <v>273</v>
      </c>
      <c r="K459" s="490">
        <v>1</v>
      </c>
      <c r="L459" s="490">
        <v>4</v>
      </c>
      <c r="M459" s="490">
        <v>3</v>
      </c>
      <c r="N459" s="522"/>
    </row>
    <row r="460" spans="1:14" s="523" customFormat="1" ht="15">
      <c r="A460" s="522"/>
      <c r="B460" s="506" t="s">
        <v>2110</v>
      </c>
      <c r="C460" s="492">
        <v>-24.37</v>
      </c>
      <c r="D460" s="492">
        <v>31.03</v>
      </c>
      <c r="E460" s="492">
        <v>1992</v>
      </c>
      <c r="F460" s="492">
        <v>7</v>
      </c>
      <c r="G460" s="492">
        <v>15</v>
      </c>
      <c r="H460" s="492">
        <v>2.2000000000000002</v>
      </c>
      <c r="I460" s="490" t="s">
        <v>273</v>
      </c>
      <c r="J460" s="490" t="s">
        <v>273</v>
      </c>
      <c r="K460" s="490">
        <v>1</v>
      </c>
      <c r="L460" s="490">
        <v>4</v>
      </c>
      <c r="M460" s="490">
        <v>3</v>
      </c>
      <c r="N460" s="522"/>
    </row>
    <row r="461" spans="1:14" s="523" customFormat="1" ht="15">
      <c r="A461" s="522"/>
      <c r="B461" s="506" t="s">
        <v>2110</v>
      </c>
      <c r="C461" s="492">
        <v>-24.55</v>
      </c>
      <c r="D461" s="492">
        <v>31.1</v>
      </c>
      <c r="E461" s="492">
        <v>1992</v>
      </c>
      <c r="F461" s="492">
        <v>7</v>
      </c>
      <c r="G461" s="492">
        <v>15</v>
      </c>
      <c r="H461" s="492">
        <v>3.9</v>
      </c>
      <c r="I461" s="490" t="s">
        <v>273</v>
      </c>
      <c r="J461" s="490" t="s">
        <v>273</v>
      </c>
      <c r="K461" s="490">
        <v>1</v>
      </c>
      <c r="L461" s="490">
        <v>4</v>
      </c>
      <c r="M461" s="490">
        <v>3</v>
      </c>
      <c r="N461" s="522"/>
    </row>
    <row r="462" spans="1:14" s="523" customFormat="1" ht="15">
      <c r="A462" s="522"/>
      <c r="B462" s="506" t="s">
        <v>2110</v>
      </c>
      <c r="C462" s="492">
        <v>-24.25</v>
      </c>
      <c r="D462" s="492">
        <v>29.92</v>
      </c>
      <c r="E462" s="492">
        <v>1992</v>
      </c>
      <c r="F462" s="492">
        <v>7</v>
      </c>
      <c r="G462" s="492">
        <v>15</v>
      </c>
      <c r="H462" s="492">
        <v>0.8</v>
      </c>
      <c r="I462" s="490" t="s">
        <v>273</v>
      </c>
      <c r="J462" s="490" t="s">
        <v>273</v>
      </c>
      <c r="K462" s="490">
        <v>1</v>
      </c>
      <c r="L462" s="490">
        <v>4</v>
      </c>
      <c r="M462" s="490">
        <v>3</v>
      </c>
      <c r="N462" s="522"/>
    </row>
    <row r="463" spans="1:14" s="523" customFormat="1" ht="15">
      <c r="A463" s="522"/>
      <c r="B463" s="506" t="s">
        <v>2110</v>
      </c>
      <c r="C463" s="492">
        <v>-17.350000000000001</v>
      </c>
      <c r="D463" s="492">
        <v>24.65</v>
      </c>
      <c r="E463" s="492">
        <v>1994</v>
      </c>
      <c r="F463" s="492">
        <v>7</v>
      </c>
      <c r="G463" s="492">
        <v>9</v>
      </c>
      <c r="H463" s="492">
        <v>5</v>
      </c>
      <c r="I463" s="490" t="s">
        <v>273</v>
      </c>
      <c r="J463" s="490" t="s">
        <v>273</v>
      </c>
      <c r="K463" s="490">
        <v>1</v>
      </c>
      <c r="L463" s="490">
        <v>4</v>
      </c>
      <c r="M463" s="490">
        <v>3</v>
      </c>
      <c r="N463" s="522"/>
    </row>
    <row r="464" spans="1:14" s="523" customFormat="1" ht="15">
      <c r="A464" s="522"/>
      <c r="B464" s="506" t="s">
        <v>2110</v>
      </c>
      <c r="C464" s="492">
        <v>-16.45</v>
      </c>
      <c r="D464" s="492">
        <v>23.2</v>
      </c>
      <c r="E464" s="492">
        <v>1994</v>
      </c>
      <c r="F464" s="492">
        <v>7</v>
      </c>
      <c r="G464" s="492">
        <v>10</v>
      </c>
      <c r="H464" s="492">
        <v>4.4000000000000004</v>
      </c>
      <c r="I464" s="490" t="s">
        <v>273</v>
      </c>
      <c r="J464" s="490" t="s">
        <v>273</v>
      </c>
      <c r="K464" s="490">
        <v>1</v>
      </c>
      <c r="L464" s="490">
        <v>4</v>
      </c>
      <c r="M464" s="490">
        <v>3</v>
      </c>
      <c r="N464" s="522"/>
    </row>
    <row r="465" spans="1:14" s="523" customFormat="1" ht="15">
      <c r="A465" s="522"/>
      <c r="B465" s="506" t="s">
        <v>2110</v>
      </c>
      <c r="C465" s="492">
        <v>-15.85</v>
      </c>
      <c r="D465" s="492">
        <v>23.37</v>
      </c>
      <c r="E465" s="492">
        <v>1994</v>
      </c>
      <c r="F465" s="492">
        <v>7</v>
      </c>
      <c r="G465" s="492">
        <v>11</v>
      </c>
      <c r="H465" s="492">
        <v>3.6</v>
      </c>
      <c r="I465" s="490" t="s">
        <v>273</v>
      </c>
      <c r="J465" s="490" t="s">
        <v>273</v>
      </c>
      <c r="K465" s="490">
        <v>1</v>
      </c>
      <c r="L465" s="490">
        <v>4</v>
      </c>
      <c r="M465" s="490">
        <v>3</v>
      </c>
      <c r="N465" s="522"/>
    </row>
    <row r="466" spans="1:14" s="523" customFormat="1" ht="15">
      <c r="A466" s="522"/>
      <c r="B466" s="506" t="s">
        <v>2110</v>
      </c>
      <c r="C466" s="492">
        <v>-15.12</v>
      </c>
      <c r="D466" s="492">
        <v>23.72</v>
      </c>
      <c r="E466" s="492">
        <v>1994</v>
      </c>
      <c r="F466" s="492">
        <v>7</v>
      </c>
      <c r="G466" s="492">
        <v>12</v>
      </c>
      <c r="H466" s="492">
        <v>7.1</v>
      </c>
      <c r="I466" s="490" t="s">
        <v>273</v>
      </c>
      <c r="J466" s="490" t="s">
        <v>273</v>
      </c>
      <c r="K466" s="490">
        <v>1</v>
      </c>
      <c r="L466" s="490">
        <v>4</v>
      </c>
      <c r="M466" s="490">
        <v>3</v>
      </c>
      <c r="N466" s="522"/>
    </row>
    <row r="467" spans="1:14" s="523" customFormat="1" ht="15">
      <c r="A467" s="522"/>
      <c r="B467" s="506" t="s">
        <v>2110</v>
      </c>
      <c r="C467" s="492">
        <v>-14.45</v>
      </c>
      <c r="D467" s="492">
        <v>24.97</v>
      </c>
      <c r="E467" s="492">
        <v>1994</v>
      </c>
      <c r="F467" s="492">
        <v>7</v>
      </c>
      <c r="G467" s="492">
        <v>13</v>
      </c>
      <c r="H467" s="492">
        <v>3</v>
      </c>
      <c r="I467" s="490" t="s">
        <v>273</v>
      </c>
      <c r="J467" s="490" t="s">
        <v>273</v>
      </c>
      <c r="K467" s="490">
        <v>1</v>
      </c>
      <c r="L467" s="490">
        <v>4</v>
      </c>
      <c r="M467" s="490">
        <v>3</v>
      </c>
      <c r="N467" s="522"/>
    </row>
    <row r="468" spans="1:14" s="523" customFormat="1" ht="15">
      <c r="A468" s="522"/>
      <c r="B468" s="506" t="s">
        <v>2110</v>
      </c>
      <c r="C468" s="492">
        <v>-14.9</v>
      </c>
      <c r="D468" s="492">
        <v>24.55</v>
      </c>
      <c r="E468" s="492">
        <v>1994</v>
      </c>
      <c r="F468" s="492">
        <v>7</v>
      </c>
      <c r="G468" s="492">
        <v>14</v>
      </c>
      <c r="H468" s="492">
        <v>3.8</v>
      </c>
      <c r="I468" s="490" t="s">
        <v>273</v>
      </c>
      <c r="J468" s="490" t="s">
        <v>273</v>
      </c>
      <c r="K468" s="490">
        <v>1</v>
      </c>
      <c r="L468" s="490">
        <v>4</v>
      </c>
      <c r="M468" s="490">
        <v>3</v>
      </c>
      <c r="N468" s="522"/>
    </row>
    <row r="469" spans="1:14" s="523" customFormat="1" ht="15">
      <c r="A469" s="522"/>
      <c r="B469" s="506" t="s">
        <v>2110</v>
      </c>
      <c r="C469" s="492">
        <v>-14.95</v>
      </c>
      <c r="D469" s="492">
        <v>24.83</v>
      </c>
      <c r="E469" s="492">
        <v>1994</v>
      </c>
      <c r="F469" s="492">
        <v>7</v>
      </c>
      <c r="G469" s="492">
        <v>15</v>
      </c>
      <c r="H469" s="492">
        <v>3.7</v>
      </c>
      <c r="I469" s="490" t="s">
        <v>273</v>
      </c>
      <c r="J469" s="490" t="s">
        <v>273</v>
      </c>
      <c r="K469" s="490">
        <v>1</v>
      </c>
      <c r="L469" s="490">
        <v>4</v>
      </c>
      <c r="M469" s="490">
        <v>3</v>
      </c>
      <c r="N469" s="522"/>
    </row>
    <row r="470" spans="1:14" s="523" customFormat="1" ht="15">
      <c r="A470" s="522"/>
      <c r="B470" s="506" t="s">
        <v>2110</v>
      </c>
      <c r="C470" s="492">
        <v>-16.3</v>
      </c>
      <c r="D470" s="492">
        <v>25.98</v>
      </c>
      <c r="E470" s="492">
        <v>1994</v>
      </c>
      <c r="F470" s="492">
        <v>7</v>
      </c>
      <c r="G470" s="492">
        <v>16</v>
      </c>
      <c r="H470" s="492">
        <v>2.6</v>
      </c>
      <c r="I470" s="490" t="s">
        <v>273</v>
      </c>
      <c r="J470" s="490" t="s">
        <v>273</v>
      </c>
      <c r="K470" s="490">
        <v>1</v>
      </c>
      <c r="L470" s="490">
        <v>4</v>
      </c>
      <c r="M470" s="490">
        <v>3</v>
      </c>
      <c r="N470" s="522"/>
    </row>
    <row r="471" spans="1:14" s="523" customFormat="1" ht="15">
      <c r="A471" s="522"/>
      <c r="B471" s="506" t="s">
        <v>2110</v>
      </c>
      <c r="C471" s="492">
        <v>-16.420000000000002</v>
      </c>
      <c r="D471" s="492">
        <v>26</v>
      </c>
      <c r="E471" s="492">
        <v>1994</v>
      </c>
      <c r="F471" s="492">
        <v>7</v>
      </c>
      <c r="G471" s="492">
        <v>17</v>
      </c>
      <c r="H471" s="492">
        <v>3.1</v>
      </c>
      <c r="I471" s="490" t="s">
        <v>273</v>
      </c>
      <c r="J471" s="490" t="s">
        <v>273</v>
      </c>
      <c r="K471" s="490">
        <v>1</v>
      </c>
      <c r="L471" s="490">
        <v>4</v>
      </c>
      <c r="M471" s="490">
        <v>3</v>
      </c>
      <c r="N471" s="522"/>
    </row>
    <row r="472" spans="1:14" s="523" customFormat="1" ht="15">
      <c r="A472" s="522"/>
      <c r="B472" s="506" t="s">
        <v>2110</v>
      </c>
      <c r="C472" s="492">
        <v>-25.09</v>
      </c>
      <c r="D472" s="492">
        <v>31.38</v>
      </c>
      <c r="E472" s="492">
        <v>2008</v>
      </c>
      <c r="F472" s="492">
        <v>10</v>
      </c>
      <c r="G472" s="492">
        <v>26</v>
      </c>
      <c r="H472" s="492">
        <v>5</v>
      </c>
      <c r="I472" s="490" t="s">
        <v>273</v>
      </c>
      <c r="J472" s="490" t="s">
        <v>273</v>
      </c>
      <c r="K472" s="490">
        <v>1</v>
      </c>
      <c r="L472" s="490">
        <v>4</v>
      </c>
      <c r="M472" s="490">
        <v>3</v>
      </c>
      <c r="N472" s="522"/>
    </row>
    <row r="473" spans="1:14" s="523" customFormat="1" ht="15">
      <c r="A473" s="522"/>
      <c r="B473" s="506" t="s">
        <v>2110</v>
      </c>
      <c r="C473" s="492">
        <v>-25.14</v>
      </c>
      <c r="D473" s="492">
        <v>31.21</v>
      </c>
      <c r="E473" s="492">
        <v>2007</v>
      </c>
      <c r="F473" s="492">
        <v>8</v>
      </c>
      <c r="G473" s="492">
        <v>25</v>
      </c>
      <c r="H473" s="492">
        <v>3.8</v>
      </c>
      <c r="I473" s="490" t="s">
        <v>273</v>
      </c>
      <c r="J473" s="490" t="s">
        <v>273</v>
      </c>
      <c r="K473" s="490">
        <v>1</v>
      </c>
      <c r="L473" s="490">
        <v>4</v>
      </c>
      <c r="M473" s="490">
        <v>3</v>
      </c>
      <c r="N473" s="522"/>
    </row>
    <row r="474" spans="1:14" s="523" customFormat="1" ht="15">
      <c r="A474" s="522"/>
      <c r="B474" s="506" t="s">
        <v>2110</v>
      </c>
      <c r="C474" s="492">
        <v>-25.1</v>
      </c>
      <c r="D474" s="492">
        <v>31.38</v>
      </c>
      <c r="E474" s="492">
        <v>2007</v>
      </c>
      <c r="F474" s="492">
        <v>8</v>
      </c>
      <c r="G474" s="492">
        <v>26</v>
      </c>
      <c r="H474" s="492">
        <v>1.6</v>
      </c>
      <c r="I474" s="490" t="s">
        <v>273</v>
      </c>
      <c r="J474" s="490" t="s">
        <v>273</v>
      </c>
      <c r="K474" s="490">
        <v>1</v>
      </c>
      <c r="L474" s="490">
        <v>4</v>
      </c>
      <c r="M474" s="490">
        <v>3</v>
      </c>
      <c r="N474" s="522"/>
    </row>
    <row r="475" spans="1:14" s="523" customFormat="1" ht="15">
      <c r="A475" s="522"/>
      <c r="B475" s="506" t="s">
        <v>2110</v>
      </c>
      <c r="C475" s="492">
        <v>-25.1</v>
      </c>
      <c r="D475" s="492">
        <v>31.45</v>
      </c>
      <c r="E475" s="492">
        <v>2007</v>
      </c>
      <c r="F475" s="492">
        <v>8</v>
      </c>
      <c r="G475" s="492">
        <v>26</v>
      </c>
      <c r="H475" s="492">
        <v>1.4</v>
      </c>
      <c r="I475" s="490" t="s">
        <v>273</v>
      </c>
      <c r="J475" s="490" t="s">
        <v>273</v>
      </c>
      <c r="K475" s="490">
        <v>1</v>
      </c>
      <c r="L475" s="490">
        <v>4</v>
      </c>
      <c r="M475" s="490">
        <v>3</v>
      </c>
      <c r="N475" s="522"/>
    </row>
    <row r="476" spans="1:14" s="523" customFormat="1" ht="15">
      <c r="A476" s="522"/>
      <c r="B476" s="506" t="s">
        <v>2110</v>
      </c>
      <c r="C476" s="492">
        <v>-25.11</v>
      </c>
      <c r="D476" s="492">
        <v>31.41</v>
      </c>
      <c r="E476" s="492">
        <v>2008</v>
      </c>
      <c r="F476" s="492">
        <v>10</v>
      </c>
      <c r="G476" s="492">
        <v>26</v>
      </c>
      <c r="H476" s="492">
        <v>4.5</v>
      </c>
      <c r="I476" s="490" t="s">
        <v>273</v>
      </c>
      <c r="J476" s="490" t="s">
        <v>273</v>
      </c>
      <c r="K476" s="490">
        <v>1</v>
      </c>
      <c r="L476" s="490">
        <v>4</v>
      </c>
      <c r="M476" s="490">
        <v>3</v>
      </c>
      <c r="N476" s="522"/>
    </row>
    <row r="477" spans="1:14" s="523" customFormat="1" ht="15">
      <c r="A477" s="522"/>
      <c r="B477" s="506" t="s">
        <v>2110</v>
      </c>
      <c r="C477" s="492">
        <v>-25.12</v>
      </c>
      <c r="D477" s="492">
        <v>31.21</v>
      </c>
      <c r="E477" s="492">
        <v>2008</v>
      </c>
      <c r="F477" s="492">
        <v>10</v>
      </c>
      <c r="G477" s="492">
        <v>26</v>
      </c>
      <c r="H477" s="492">
        <v>5.0999999999999996</v>
      </c>
      <c r="I477" s="490" t="s">
        <v>273</v>
      </c>
      <c r="J477" s="490" t="s">
        <v>1046</v>
      </c>
      <c r="K477" s="490">
        <v>1</v>
      </c>
      <c r="L477" s="490">
        <v>4</v>
      </c>
      <c r="M477" s="490">
        <v>3</v>
      </c>
      <c r="N477" s="522"/>
    </row>
    <row r="478" spans="1:14" s="523" customFormat="1" ht="15">
      <c r="A478" s="522"/>
      <c r="B478" s="506" t="s">
        <v>2110</v>
      </c>
      <c r="C478" s="492">
        <v>-25.15</v>
      </c>
      <c r="D478" s="492">
        <v>31.26</v>
      </c>
      <c r="E478" s="492">
        <v>2008</v>
      </c>
      <c r="F478" s="492">
        <v>10</v>
      </c>
      <c r="G478" s="492">
        <v>26</v>
      </c>
      <c r="H478" s="492">
        <v>9</v>
      </c>
      <c r="I478" s="490" t="s">
        <v>273</v>
      </c>
      <c r="J478" s="490" t="s">
        <v>1046</v>
      </c>
      <c r="K478" s="490">
        <v>1</v>
      </c>
      <c r="L478" s="490">
        <v>4</v>
      </c>
      <c r="M478" s="490">
        <v>3</v>
      </c>
      <c r="N478" s="522"/>
    </row>
    <row r="479" spans="1:14" s="523" customFormat="1" ht="15">
      <c r="A479" s="522"/>
      <c r="B479" s="507" t="s">
        <v>2111</v>
      </c>
      <c r="C479" s="489">
        <v>-12.3</v>
      </c>
      <c r="D479" s="489">
        <v>133</v>
      </c>
      <c r="E479" s="490" t="s">
        <v>2112</v>
      </c>
      <c r="F479" s="490" t="s">
        <v>1046</v>
      </c>
      <c r="G479" s="490" t="s">
        <v>1046</v>
      </c>
      <c r="H479" s="490">
        <v>3.3</v>
      </c>
      <c r="I479" s="490" t="s">
        <v>273</v>
      </c>
      <c r="J479" s="490" t="s">
        <v>1046</v>
      </c>
      <c r="K479" s="490">
        <v>1</v>
      </c>
      <c r="L479" s="490">
        <v>4</v>
      </c>
      <c r="M479" s="490">
        <v>1</v>
      </c>
      <c r="N479" s="522"/>
    </row>
    <row r="480" spans="1:14" s="523" customFormat="1" ht="15">
      <c r="A480" s="522"/>
      <c r="B480" s="507" t="s">
        <v>2111</v>
      </c>
      <c r="C480" s="489">
        <v>-12.3</v>
      </c>
      <c r="D480" s="489">
        <v>133</v>
      </c>
      <c r="E480" s="490" t="s">
        <v>2112</v>
      </c>
      <c r="F480" s="490" t="s">
        <v>1046</v>
      </c>
      <c r="G480" s="490" t="s">
        <v>1046</v>
      </c>
      <c r="H480" s="490">
        <v>5.7</v>
      </c>
      <c r="I480" s="490" t="s">
        <v>273</v>
      </c>
      <c r="J480" s="490" t="s">
        <v>1046</v>
      </c>
      <c r="K480" s="490">
        <v>1</v>
      </c>
      <c r="L480" s="490">
        <v>4</v>
      </c>
      <c r="M480" s="490">
        <v>1</v>
      </c>
      <c r="N480" s="522"/>
    </row>
    <row r="481" spans="1:14" s="523" customFormat="1" ht="15">
      <c r="A481" s="522"/>
      <c r="B481" s="507" t="s">
        <v>2111</v>
      </c>
      <c r="C481" s="489">
        <v>-12.3</v>
      </c>
      <c r="D481" s="489">
        <v>133</v>
      </c>
      <c r="E481" s="490" t="s">
        <v>2112</v>
      </c>
      <c r="F481" s="490" t="s">
        <v>1046</v>
      </c>
      <c r="G481" s="490" t="s">
        <v>1046</v>
      </c>
      <c r="H481" s="490">
        <v>8.3000000000000007</v>
      </c>
      <c r="I481" s="490" t="s">
        <v>273</v>
      </c>
      <c r="J481" s="490" t="s">
        <v>1046</v>
      </c>
      <c r="K481" s="490">
        <v>1</v>
      </c>
      <c r="L481" s="490">
        <v>4</v>
      </c>
      <c r="M481" s="490">
        <v>1</v>
      </c>
      <c r="N481" s="522"/>
    </row>
    <row r="482" spans="1:14" s="523" customFormat="1" ht="15">
      <c r="A482" s="522"/>
      <c r="B482" s="507" t="s">
        <v>2111</v>
      </c>
      <c r="C482" s="489">
        <v>-12.3</v>
      </c>
      <c r="D482" s="489">
        <v>133</v>
      </c>
      <c r="E482" s="490" t="s">
        <v>2112</v>
      </c>
      <c r="F482" s="490" t="s">
        <v>1046</v>
      </c>
      <c r="G482" s="490" t="s">
        <v>1046</v>
      </c>
      <c r="H482" s="490">
        <v>3.3</v>
      </c>
      <c r="I482" s="490" t="s">
        <v>273</v>
      </c>
      <c r="J482" s="490" t="s">
        <v>1046</v>
      </c>
      <c r="K482" s="490">
        <v>1</v>
      </c>
      <c r="L482" s="490">
        <v>4</v>
      </c>
      <c r="M482" s="490">
        <v>1</v>
      </c>
      <c r="N482" s="522"/>
    </row>
    <row r="483" spans="1:14" s="523" customFormat="1" ht="15">
      <c r="A483" s="522"/>
      <c r="B483" s="507" t="s">
        <v>2111</v>
      </c>
      <c r="C483" s="489">
        <v>-12.3</v>
      </c>
      <c r="D483" s="489">
        <v>133</v>
      </c>
      <c r="E483" s="490" t="s">
        <v>2112</v>
      </c>
      <c r="F483" s="490" t="s">
        <v>1046</v>
      </c>
      <c r="G483" s="490" t="s">
        <v>1046</v>
      </c>
      <c r="H483" s="490">
        <v>5.7</v>
      </c>
      <c r="I483" s="490" t="s">
        <v>273</v>
      </c>
      <c r="J483" s="490" t="s">
        <v>1046</v>
      </c>
      <c r="K483" s="490">
        <v>1</v>
      </c>
      <c r="L483" s="490">
        <v>4</v>
      </c>
      <c r="M483" s="490">
        <v>1</v>
      </c>
      <c r="N483" s="522"/>
    </row>
    <row r="484" spans="1:14" s="523" customFormat="1" ht="15">
      <c r="A484" s="522"/>
      <c r="B484" s="507" t="s">
        <v>2111</v>
      </c>
      <c r="C484" s="489">
        <v>-12.3</v>
      </c>
      <c r="D484" s="489">
        <v>133</v>
      </c>
      <c r="E484" s="490" t="s">
        <v>2112</v>
      </c>
      <c r="F484" s="490" t="s">
        <v>1046</v>
      </c>
      <c r="G484" s="490" t="s">
        <v>1046</v>
      </c>
      <c r="H484" s="490">
        <v>8.3000000000000007</v>
      </c>
      <c r="I484" s="490" t="s">
        <v>273</v>
      </c>
      <c r="J484" s="490" t="s">
        <v>1046</v>
      </c>
      <c r="K484" s="490">
        <v>1</v>
      </c>
      <c r="L484" s="490">
        <v>4</v>
      </c>
      <c r="M484" s="490">
        <v>1</v>
      </c>
      <c r="N484" s="522"/>
    </row>
    <row r="485" spans="1:14" s="523" customFormat="1" ht="15">
      <c r="A485" s="522"/>
      <c r="B485" s="507" t="s">
        <v>2111</v>
      </c>
      <c r="C485" s="489">
        <v>-12.3</v>
      </c>
      <c r="D485" s="489">
        <v>133</v>
      </c>
      <c r="E485" s="490" t="s">
        <v>2112</v>
      </c>
      <c r="F485" s="490" t="s">
        <v>1046</v>
      </c>
      <c r="G485" s="490" t="s">
        <v>1046</v>
      </c>
      <c r="H485" s="490">
        <v>5.8</v>
      </c>
      <c r="I485" s="490" t="s">
        <v>273</v>
      </c>
      <c r="J485" s="490" t="s">
        <v>1046</v>
      </c>
      <c r="K485" s="490">
        <v>1</v>
      </c>
      <c r="L485" s="490">
        <v>4</v>
      </c>
      <c r="M485" s="490">
        <v>2</v>
      </c>
      <c r="N485" s="522"/>
    </row>
    <row r="486" spans="1:14" s="523" customFormat="1" ht="15">
      <c r="A486" s="522"/>
      <c r="B486" s="508" t="s">
        <v>2113</v>
      </c>
      <c r="C486" s="490">
        <v>-12.5</v>
      </c>
      <c r="D486" s="490">
        <v>132.19999999999999</v>
      </c>
      <c r="E486" s="492">
        <v>1990</v>
      </c>
      <c r="F486" s="490" t="s">
        <v>1046</v>
      </c>
      <c r="G486" s="490" t="s">
        <v>1046</v>
      </c>
      <c r="H486" s="497">
        <v>8.0399999999999991</v>
      </c>
      <c r="I486" s="490" t="s">
        <v>273</v>
      </c>
      <c r="J486" s="490" t="s">
        <v>273</v>
      </c>
      <c r="K486" s="490">
        <v>1</v>
      </c>
      <c r="L486" s="490">
        <v>4</v>
      </c>
      <c r="M486" s="490">
        <v>1</v>
      </c>
      <c r="N486" s="522"/>
    </row>
    <row r="487" spans="1:14" s="523" customFormat="1" ht="15">
      <c r="A487" s="522"/>
      <c r="B487" s="508" t="s">
        <v>2113</v>
      </c>
      <c r="C487" s="490">
        <v>-12.5</v>
      </c>
      <c r="D487" s="490">
        <v>132.19999999999999</v>
      </c>
      <c r="E487" s="492">
        <v>1991</v>
      </c>
      <c r="F487" s="490" t="s">
        <v>1046</v>
      </c>
      <c r="G487" s="490" t="s">
        <v>1046</v>
      </c>
      <c r="H487" s="490">
        <v>7.3</v>
      </c>
      <c r="I487" s="490" t="s">
        <v>273</v>
      </c>
      <c r="J487" s="490" t="s">
        <v>273</v>
      </c>
      <c r="K487" s="490">
        <v>1</v>
      </c>
      <c r="L487" s="490">
        <v>4</v>
      </c>
      <c r="M487" s="490">
        <v>1</v>
      </c>
      <c r="N487" s="522"/>
    </row>
    <row r="488" spans="1:14" s="523" customFormat="1" ht="15">
      <c r="A488" s="522"/>
      <c r="B488" s="508" t="s">
        <v>2113</v>
      </c>
      <c r="C488" s="490">
        <v>-12.5</v>
      </c>
      <c r="D488" s="490">
        <v>132.19999999999999</v>
      </c>
      <c r="E488" s="492">
        <v>1992</v>
      </c>
      <c r="F488" s="490" t="s">
        <v>1046</v>
      </c>
      <c r="G488" s="490" t="s">
        <v>1046</v>
      </c>
      <c r="H488" s="497">
        <v>3.46</v>
      </c>
      <c r="I488" s="490" t="s">
        <v>273</v>
      </c>
      <c r="J488" s="490" t="s">
        <v>273</v>
      </c>
      <c r="K488" s="490">
        <v>1</v>
      </c>
      <c r="L488" s="490">
        <v>4</v>
      </c>
      <c r="M488" s="490">
        <v>1</v>
      </c>
      <c r="N488" s="522"/>
    </row>
    <row r="489" spans="1:14" s="523" customFormat="1" ht="15">
      <c r="A489" s="522"/>
      <c r="B489" s="508" t="s">
        <v>2113</v>
      </c>
      <c r="C489" s="490">
        <v>-12.5</v>
      </c>
      <c r="D489" s="490">
        <v>132.19999999999999</v>
      </c>
      <c r="E489" s="492">
        <v>1993</v>
      </c>
      <c r="F489" s="490" t="s">
        <v>1046</v>
      </c>
      <c r="G489" s="490" t="s">
        <v>1046</v>
      </c>
      <c r="H489" s="497">
        <v>3.36</v>
      </c>
      <c r="I489" s="490" t="s">
        <v>273</v>
      </c>
      <c r="J489" s="490" t="s">
        <v>273</v>
      </c>
      <c r="K489" s="490">
        <v>1</v>
      </c>
      <c r="L489" s="490">
        <v>4</v>
      </c>
      <c r="M489" s="490">
        <v>1</v>
      </c>
      <c r="N489" s="522"/>
    </row>
    <row r="490" spans="1:14" s="523" customFormat="1" ht="15">
      <c r="A490" s="522"/>
      <c r="B490" s="508" t="s">
        <v>2113</v>
      </c>
      <c r="C490" s="490">
        <v>-12.5</v>
      </c>
      <c r="D490" s="490">
        <v>132.19999999999999</v>
      </c>
      <c r="E490" s="492">
        <v>1994</v>
      </c>
      <c r="F490" s="490" t="s">
        <v>1046</v>
      </c>
      <c r="G490" s="490" t="s">
        <v>1046</v>
      </c>
      <c r="H490" s="497">
        <v>3.08</v>
      </c>
      <c r="I490" s="490" t="s">
        <v>273</v>
      </c>
      <c r="J490" s="490" t="s">
        <v>273</v>
      </c>
      <c r="K490" s="490">
        <v>1</v>
      </c>
      <c r="L490" s="490">
        <v>4</v>
      </c>
      <c r="M490" s="490">
        <v>1</v>
      </c>
      <c r="N490" s="522"/>
    </row>
    <row r="491" spans="1:14" s="523" customFormat="1" ht="15">
      <c r="A491" s="522"/>
      <c r="B491" s="508" t="s">
        <v>2113</v>
      </c>
      <c r="C491" s="490">
        <v>-12.5</v>
      </c>
      <c r="D491" s="490">
        <v>132.19999999999999</v>
      </c>
      <c r="E491" s="492">
        <v>1990</v>
      </c>
      <c r="F491" s="490" t="s">
        <v>1046</v>
      </c>
      <c r="G491" s="490" t="s">
        <v>1046</v>
      </c>
      <c r="H491" s="497">
        <v>2.64</v>
      </c>
      <c r="I491" s="490" t="s">
        <v>273</v>
      </c>
      <c r="J491" s="490" t="s">
        <v>273</v>
      </c>
      <c r="K491" s="490">
        <v>1</v>
      </c>
      <c r="L491" s="490">
        <v>4</v>
      </c>
      <c r="M491" s="490">
        <v>1</v>
      </c>
      <c r="N491" s="522"/>
    </row>
    <row r="492" spans="1:14" s="523" customFormat="1" ht="15">
      <c r="A492" s="522"/>
      <c r="B492" s="508" t="s">
        <v>2113</v>
      </c>
      <c r="C492" s="490">
        <v>-12.5</v>
      </c>
      <c r="D492" s="490">
        <v>132.19999999999999</v>
      </c>
      <c r="E492" s="492">
        <v>1991</v>
      </c>
      <c r="F492" s="490" t="s">
        <v>1046</v>
      </c>
      <c r="G492" s="490" t="s">
        <v>1046</v>
      </c>
      <c r="H492" s="490">
        <v>8</v>
      </c>
      <c r="I492" s="490" t="s">
        <v>273</v>
      </c>
      <c r="J492" s="490" t="s">
        <v>273</v>
      </c>
      <c r="K492" s="490">
        <v>1</v>
      </c>
      <c r="L492" s="490">
        <v>4</v>
      </c>
      <c r="M492" s="490">
        <v>1</v>
      </c>
      <c r="N492" s="522"/>
    </row>
    <row r="493" spans="1:14" s="523" customFormat="1" ht="15">
      <c r="A493" s="522"/>
      <c r="B493" s="508" t="s">
        <v>2113</v>
      </c>
      <c r="C493" s="490">
        <v>-12.5</v>
      </c>
      <c r="D493" s="490">
        <v>132.19999999999999</v>
      </c>
      <c r="E493" s="492">
        <v>1992</v>
      </c>
      <c r="F493" s="490" t="s">
        <v>1046</v>
      </c>
      <c r="G493" s="490" t="s">
        <v>1046</v>
      </c>
      <c r="H493" s="490">
        <f>AVERAGE(2,10)</f>
        <v>6</v>
      </c>
      <c r="I493" s="490" t="s">
        <v>2074</v>
      </c>
      <c r="J493" s="490" t="s">
        <v>2074</v>
      </c>
      <c r="K493" s="490">
        <v>1</v>
      </c>
      <c r="L493" s="490">
        <v>4</v>
      </c>
      <c r="M493" s="490">
        <v>1</v>
      </c>
      <c r="N493" s="522"/>
    </row>
    <row r="494" spans="1:14" s="523" customFormat="1" ht="15">
      <c r="A494" s="522"/>
      <c r="B494" s="508" t="s">
        <v>2113</v>
      </c>
      <c r="C494" s="490">
        <v>-12.5</v>
      </c>
      <c r="D494" s="490">
        <v>132.19999999999999</v>
      </c>
      <c r="E494" s="492">
        <v>1993</v>
      </c>
      <c r="F494" s="490" t="s">
        <v>1046</v>
      </c>
      <c r="G494" s="490" t="s">
        <v>1046</v>
      </c>
      <c r="H494" s="497">
        <v>4.99</v>
      </c>
      <c r="I494" s="490" t="s">
        <v>2074</v>
      </c>
      <c r="J494" s="490" t="s">
        <v>2074</v>
      </c>
      <c r="K494" s="490">
        <v>1</v>
      </c>
      <c r="L494" s="490">
        <v>4</v>
      </c>
      <c r="M494" s="490">
        <v>1</v>
      </c>
      <c r="N494" s="522"/>
    </row>
    <row r="495" spans="1:14" s="523" customFormat="1" ht="15">
      <c r="A495" s="522"/>
      <c r="B495" s="508" t="s">
        <v>2113</v>
      </c>
      <c r="C495" s="490">
        <v>-12.5</v>
      </c>
      <c r="D495" s="490">
        <v>132.19999999999999</v>
      </c>
      <c r="E495" s="492">
        <v>1994</v>
      </c>
      <c r="F495" s="490" t="s">
        <v>1046</v>
      </c>
      <c r="G495" s="490" t="s">
        <v>1046</v>
      </c>
      <c r="H495" s="497">
        <v>3.24</v>
      </c>
      <c r="I495" s="490" t="s">
        <v>2074</v>
      </c>
      <c r="J495" s="490" t="s">
        <v>2074</v>
      </c>
      <c r="K495" s="490">
        <v>1</v>
      </c>
      <c r="L495" s="490">
        <v>4</v>
      </c>
      <c r="M495" s="490">
        <v>1</v>
      </c>
      <c r="N495" s="522"/>
    </row>
    <row r="496" spans="1:14" s="523" customFormat="1" ht="15">
      <c r="A496" s="522"/>
      <c r="B496" s="508" t="s">
        <v>2113</v>
      </c>
      <c r="C496" s="490">
        <v>-12.5</v>
      </c>
      <c r="D496" s="490">
        <v>132.19999999999999</v>
      </c>
      <c r="E496" s="493" t="s">
        <v>2114</v>
      </c>
      <c r="F496" s="493" t="s">
        <v>2074</v>
      </c>
      <c r="G496" s="493" t="s">
        <v>2074</v>
      </c>
      <c r="H496" s="497">
        <v>5</v>
      </c>
      <c r="I496" s="490" t="s">
        <v>2074</v>
      </c>
      <c r="J496" s="490" t="s">
        <v>2074</v>
      </c>
      <c r="K496" s="490">
        <v>1</v>
      </c>
      <c r="L496" s="490">
        <v>4</v>
      </c>
      <c r="M496" s="490">
        <v>2</v>
      </c>
      <c r="N496" s="522"/>
    </row>
    <row r="497" spans="1:14" s="523" customFormat="1" ht="15">
      <c r="A497" s="522"/>
      <c r="B497" s="508" t="s">
        <v>2115</v>
      </c>
      <c r="C497" s="490">
        <v>-12.7</v>
      </c>
      <c r="D497" s="490">
        <v>132.9</v>
      </c>
      <c r="E497" s="490" t="s">
        <v>2074</v>
      </c>
      <c r="F497" s="490" t="s">
        <v>2074</v>
      </c>
      <c r="G497" s="490" t="s">
        <v>2074</v>
      </c>
      <c r="H497" s="490">
        <v>34.6</v>
      </c>
      <c r="I497" s="490" t="s">
        <v>2074</v>
      </c>
      <c r="J497" s="490" t="s">
        <v>2074</v>
      </c>
      <c r="K497" s="490">
        <v>1</v>
      </c>
      <c r="L497" s="490">
        <v>4</v>
      </c>
      <c r="M497" s="490">
        <v>1</v>
      </c>
      <c r="N497" s="522"/>
    </row>
    <row r="498" spans="1:14" s="523" customFormat="1" ht="15">
      <c r="A498" s="522"/>
      <c r="B498" s="508" t="s">
        <v>2115</v>
      </c>
      <c r="C498" s="490">
        <v>-12.7</v>
      </c>
      <c r="D498" s="490">
        <v>132.9</v>
      </c>
      <c r="E498" s="490" t="s">
        <v>2074</v>
      </c>
      <c r="F498" s="490" t="s">
        <v>2074</v>
      </c>
      <c r="G498" s="490" t="s">
        <v>2074</v>
      </c>
      <c r="H498" s="490">
        <v>28.4</v>
      </c>
      <c r="I498" s="490" t="s">
        <v>2074</v>
      </c>
      <c r="J498" s="490" t="s">
        <v>2074</v>
      </c>
      <c r="K498" s="490">
        <v>1</v>
      </c>
      <c r="L498" s="490">
        <v>4</v>
      </c>
      <c r="M498" s="490">
        <v>1</v>
      </c>
      <c r="N498" s="522"/>
    </row>
    <row r="499" spans="1:14" s="523" customFormat="1" ht="15">
      <c r="A499" s="522"/>
      <c r="B499" s="508" t="s">
        <v>2115</v>
      </c>
      <c r="C499" s="490">
        <v>-12.7</v>
      </c>
      <c r="D499" s="490">
        <v>132.9</v>
      </c>
      <c r="E499" s="490" t="s">
        <v>273</v>
      </c>
      <c r="F499" s="490" t="s">
        <v>273</v>
      </c>
      <c r="G499" s="490" t="s">
        <v>273</v>
      </c>
      <c r="H499" s="490">
        <v>14.5</v>
      </c>
      <c r="I499" s="490" t="s">
        <v>273</v>
      </c>
      <c r="J499" s="490" t="s">
        <v>273</v>
      </c>
      <c r="K499" s="490">
        <v>1</v>
      </c>
      <c r="L499" s="490">
        <v>4</v>
      </c>
      <c r="M499" s="490">
        <v>1</v>
      </c>
      <c r="N499" s="522"/>
    </row>
    <row r="500" spans="1:14" s="523" customFormat="1" ht="15">
      <c r="A500" s="522"/>
      <c r="B500" s="508" t="s">
        <v>2115</v>
      </c>
      <c r="C500" s="490">
        <v>-12.7</v>
      </c>
      <c r="D500" s="490">
        <v>132.9</v>
      </c>
      <c r="E500" s="490" t="s">
        <v>273</v>
      </c>
      <c r="F500" s="490" t="s">
        <v>273</v>
      </c>
      <c r="G500" s="490" t="s">
        <v>273</v>
      </c>
      <c r="H500" s="490">
        <v>8</v>
      </c>
      <c r="I500" s="490" t="s">
        <v>273</v>
      </c>
      <c r="J500" s="490" t="s">
        <v>273</v>
      </c>
      <c r="K500" s="490">
        <v>1</v>
      </c>
      <c r="L500" s="490">
        <v>4</v>
      </c>
      <c r="M500" s="490">
        <v>1</v>
      </c>
      <c r="N500" s="522"/>
    </row>
    <row r="501" spans="1:14" s="523" customFormat="1" ht="15">
      <c r="A501" s="522"/>
      <c r="B501" s="508" t="s">
        <v>2115</v>
      </c>
      <c r="C501" s="490">
        <v>-12.7</v>
      </c>
      <c r="D501" s="490">
        <v>132.9</v>
      </c>
      <c r="E501" s="490" t="s">
        <v>273</v>
      </c>
      <c r="F501" s="490" t="s">
        <v>273</v>
      </c>
      <c r="G501" s="490" t="s">
        <v>273</v>
      </c>
      <c r="H501" s="490">
        <v>21.4</v>
      </c>
      <c r="I501" s="490" t="s">
        <v>273</v>
      </c>
      <c r="J501" s="490" t="s">
        <v>273</v>
      </c>
      <c r="K501" s="490">
        <v>1</v>
      </c>
      <c r="L501" s="490">
        <v>4</v>
      </c>
      <c r="M501" s="490">
        <v>2</v>
      </c>
      <c r="N501" s="522"/>
    </row>
    <row r="502" spans="1:14" s="523" customFormat="1" ht="15">
      <c r="A502" s="522"/>
      <c r="B502" s="508" t="s">
        <v>2116</v>
      </c>
      <c r="C502" s="490">
        <v>-13.1</v>
      </c>
      <c r="D502" s="490">
        <v>130.6</v>
      </c>
      <c r="E502" s="493" t="s">
        <v>273</v>
      </c>
      <c r="F502" s="493" t="s">
        <v>273</v>
      </c>
      <c r="G502" s="493" t="s">
        <v>273</v>
      </c>
      <c r="H502" s="490">
        <v>8.6</v>
      </c>
      <c r="I502" s="493" t="s">
        <v>273</v>
      </c>
      <c r="J502" s="493" t="s">
        <v>273</v>
      </c>
      <c r="K502" s="490">
        <v>1</v>
      </c>
      <c r="L502" s="490">
        <v>4</v>
      </c>
      <c r="M502" s="490">
        <v>1</v>
      </c>
      <c r="N502" s="522"/>
    </row>
    <row r="503" spans="1:14" s="523" customFormat="1" ht="15">
      <c r="A503" s="522"/>
      <c r="B503" s="508" t="s">
        <v>2116</v>
      </c>
      <c r="C503" s="490">
        <v>-13.1</v>
      </c>
      <c r="D503" s="490">
        <v>130.6</v>
      </c>
      <c r="E503" s="493" t="s">
        <v>273</v>
      </c>
      <c r="F503" s="493" t="s">
        <v>273</v>
      </c>
      <c r="G503" s="493" t="s">
        <v>273</v>
      </c>
      <c r="H503" s="490">
        <v>1.7</v>
      </c>
      <c r="I503" s="493" t="s">
        <v>273</v>
      </c>
      <c r="J503" s="493" t="s">
        <v>273</v>
      </c>
      <c r="K503" s="490">
        <v>1</v>
      </c>
      <c r="L503" s="490">
        <v>4</v>
      </c>
      <c r="M503" s="490">
        <v>1</v>
      </c>
      <c r="N503" s="522"/>
    </row>
    <row r="504" spans="1:14" s="523" customFormat="1" ht="15">
      <c r="A504" s="522"/>
      <c r="B504" s="508" t="s">
        <v>2116</v>
      </c>
      <c r="C504" s="490">
        <v>-13.1</v>
      </c>
      <c r="D504" s="490">
        <v>130.6</v>
      </c>
      <c r="E504" s="493" t="s">
        <v>273</v>
      </c>
      <c r="F504" s="493" t="s">
        <v>273</v>
      </c>
      <c r="G504" s="493" t="s">
        <v>273</v>
      </c>
      <c r="H504" s="490">
        <v>5.2</v>
      </c>
      <c r="I504" s="493" t="s">
        <v>273</v>
      </c>
      <c r="J504" s="493" t="s">
        <v>273</v>
      </c>
      <c r="K504" s="490">
        <v>1</v>
      </c>
      <c r="L504" s="490">
        <v>4</v>
      </c>
      <c r="M504" s="490">
        <v>2</v>
      </c>
      <c r="N504" s="522"/>
    </row>
    <row r="505" spans="1:14" s="523" customFormat="1" ht="15">
      <c r="A505" s="522"/>
      <c r="B505" s="508" t="s">
        <v>2117</v>
      </c>
      <c r="C505" s="490">
        <v>-16.100000000000001</v>
      </c>
      <c r="D505" s="490">
        <v>131</v>
      </c>
      <c r="E505" s="492" t="s">
        <v>273</v>
      </c>
      <c r="F505" s="492" t="s">
        <v>273</v>
      </c>
      <c r="G505" s="492" t="s">
        <v>273</v>
      </c>
      <c r="H505" s="490">
        <v>3.3</v>
      </c>
      <c r="I505" s="492" t="s">
        <v>273</v>
      </c>
      <c r="J505" s="492" t="s">
        <v>273</v>
      </c>
      <c r="K505" s="490">
        <v>1</v>
      </c>
      <c r="L505" s="490">
        <v>4</v>
      </c>
      <c r="M505" s="490">
        <v>1</v>
      </c>
      <c r="N505" s="522"/>
    </row>
    <row r="506" spans="1:14" s="523" customFormat="1" ht="15">
      <c r="A506" s="522"/>
      <c r="B506" s="508" t="s">
        <v>2117</v>
      </c>
      <c r="C506" s="490">
        <v>-16.100000000000001</v>
      </c>
      <c r="D506" s="490">
        <v>131</v>
      </c>
      <c r="E506" s="492" t="s">
        <v>273</v>
      </c>
      <c r="F506" s="492" t="s">
        <v>273</v>
      </c>
      <c r="G506" s="492" t="s">
        <v>273</v>
      </c>
      <c r="H506" s="490">
        <v>3.1</v>
      </c>
      <c r="I506" s="492" t="s">
        <v>273</v>
      </c>
      <c r="J506" s="492" t="s">
        <v>273</v>
      </c>
      <c r="K506" s="490">
        <v>1</v>
      </c>
      <c r="L506" s="490">
        <v>4</v>
      </c>
      <c r="M506" s="490">
        <v>1</v>
      </c>
      <c r="N506" s="522"/>
    </row>
    <row r="507" spans="1:14" s="523" customFormat="1" ht="15">
      <c r="A507" s="522"/>
      <c r="B507" s="508" t="s">
        <v>2117</v>
      </c>
      <c r="C507" s="490">
        <v>-16.100000000000001</v>
      </c>
      <c r="D507" s="490">
        <v>131</v>
      </c>
      <c r="E507" s="492" t="s">
        <v>273</v>
      </c>
      <c r="F507" s="492" t="s">
        <v>273</v>
      </c>
      <c r="G507" s="492" t="s">
        <v>273</v>
      </c>
      <c r="H507" s="490">
        <v>3</v>
      </c>
      <c r="I507" s="492" t="s">
        <v>273</v>
      </c>
      <c r="J507" s="492" t="s">
        <v>273</v>
      </c>
      <c r="K507" s="490">
        <v>1</v>
      </c>
      <c r="L507" s="490">
        <v>4</v>
      </c>
      <c r="M507" s="490">
        <v>1</v>
      </c>
      <c r="N507" s="522"/>
    </row>
    <row r="508" spans="1:14" s="523" customFormat="1" ht="15">
      <c r="A508" s="522"/>
      <c r="B508" s="508" t="s">
        <v>2117</v>
      </c>
      <c r="C508" s="490">
        <v>-16.100000000000001</v>
      </c>
      <c r="D508" s="490">
        <v>131</v>
      </c>
      <c r="E508" s="492" t="s">
        <v>273</v>
      </c>
      <c r="F508" s="492" t="s">
        <v>273</v>
      </c>
      <c r="G508" s="492" t="s">
        <v>273</v>
      </c>
      <c r="H508" s="490">
        <v>2.6</v>
      </c>
      <c r="I508" s="492" t="s">
        <v>273</v>
      </c>
      <c r="J508" s="492" t="s">
        <v>273</v>
      </c>
      <c r="K508" s="490">
        <v>1</v>
      </c>
      <c r="L508" s="490">
        <v>4</v>
      </c>
      <c r="M508" s="490">
        <v>1</v>
      </c>
      <c r="N508" s="522"/>
    </row>
    <row r="509" spans="1:14" s="523" customFormat="1" ht="15">
      <c r="A509" s="522"/>
      <c r="B509" s="508" t="s">
        <v>2117</v>
      </c>
      <c r="C509" s="490">
        <v>-16.100000000000001</v>
      </c>
      <c r="D509" s="490">
        <v>131</v>
      </c>
      <c r="E509" s="492" t="s">
        <v>273</v>
      </c>
      <c r="F509" s="492" t="s">
        <v>273</v>
      </c>
      <c r="G509" s="492" t="s">
        <v>273</v>
      </c>
      <c r="H509" s="490">
        <v>2.2000000000000002</v>
      </c>
      <c r="I509" s="492" t="s">
        <v>273</v>
      </c>
      <c r="J509" s="492" t="s">
        <v>273</v>
      </c>
      <c r="K509" s="490">
        <v>1</v>
      </c>
      <c r="L509" s="490">
        <v>4</v>
      </c>
      <c r="M509" s="490">
        <v>1</v>
      </c>
      <c r="N509" s="522"/>
    </row>
    <row r="510" spans="1:14" s="523" customFormat="1" ht="15">
      <c r="A510" s="522"/>
      <c r="B510" s="508" t="s">
        <v>2117</v>
      </c>
      <c r="C510" s="490">
        <v>-16.100000000000001</v>
      </c>
      <c r="D510" s="490">
        <v>131</v>
      </c>
      <c r="E510" s="492" t="s">
        <v>273</v>
      </c>
      <c r="F510" s="492" t="s">
        <v>273</v>
      </c>
      <c r="G510" s="492" t="s">
        <v>273</v>
      </c>
      <c r="H510" s="490">
        <v>2.2000000000000002</v>
      </c>
      <c r="I510" s="492" t="s">
        <v>273</v>
      </c>
      <c r="J510" s="492" t="s">
        <v>273</v>
      </c>
      <c r="K510" s="490">
        <v>1</v>
      </c>
      <c r="L510" s="490">
        <v>4</v>
      </c>
      <c r="M510" s="490">
        <v>1</v>
      </c>
      <c r="N510" s="522"/>
    </row>
    <row r="511" spans="1:14" s="523" customFormat="1" ht="15">
      <c r="A511" s="522"/>
      <c r="B511" s="508" t="s">
        <v>2117</v>
      </c>
      <c r="C511" s="490">
        <v>-16.100000000000001</v>
      </c>
      <c r="D511" s="490">
        <v>131</v>
      </c>
      <c r="E511" s="492" t="s">
        <v>273</v>
      </c>
      <c r="F511" s="492" t="s">
        <v>273</v>
      </c>
      <c r="G511" s="492" t="s">
        <v>273</v>
      </c>
      <c r="H511" s="490">
        <v>2</v>
      </c>
      <c r="I511" s="492" t="s">
        <v>273</v>
      </c>
      <c r="J511" s="492" t="s">
        <v>273</v>
      </c>
      <c r="K511" s="490">
        <v>1</v>
      </c>
      <c r="L511" s="490">
        <v>4</v>
      </c>
      <c r="M511" s="490">
        <v>1</v>
      </c>
      <c r="N511" s="522"/>
    </row>
    <row r="512" spans="1:14" s="523" customFormat="1" ht="15">
      <c r="A512" s="522"/>
      <c r="B512" s="508" t="s">
        <v>2117</v>
      </c>
      <c r="C512" s="490">
        <v>-16.100000000000001</v>
      </c>
      <c r="D512" s="490">
        <v>131</v>
      </c>
      <c r="E512" s="492" t="s">
        <v>273</v>
      </c>
      <c r="F512" s="492" t="s">
        <v>273</v>
      </c>
      <c r="G512" s="492" t="s">
        <v>273</v>
      </c>
      <c r="H512" s="490">
        <v>1.9</v>
      </c>
      <c r="I512" s="492" t="s">
        <v>273</v>
      </c>
      <c r="J512" s="492" t="s">
        <v>273</v>
      </c>
      <c r="K512" s="490">
        <v>1</v>
      </c>
      <c r="L512" s="490">
        <v>4</v>
      </c>
      <c r="M512" s="490">
        <v>1</v>
      </c>
      <c r="N512" s="522"/>
    </row>
    <row r="513" spans="1:14" s="523" customFormat="1" ht="15">
      <c r="A513" s="522"/>
      <c r="B513" s="508" t="s">
        <v>2117</v>
      </c>
      <c r="C513" s="490">
        <v>-16.100000000000001</v>
      </c>
      <c r="D513" s="490">
        <v>131</v>
      </c>
      <c r="E513" s="492" t="s">
        <v>273</v>
      </c>
      <c r="F513" s="492" t="s">
        <v>273</v>
      </c>
      <c r="G513" s="492" t="s">
        <v>273</v>
      </c>
      <c r="H513" s="490">
        <v>1.5</v>
      </c>
      <c r="I513" s="492" t="s">
        <v>273</v>
      </c>
      <c r="J513" s="492" t="s">
        <v>273</v>
      </c>
      <c r="K513" s="490">
        <v>1</v>
      </c>
      <c r="L513" s="490">
        <v>4</v>
      </c>
      <c r="M513" s="490">
        <v>1</v>
      </c>
      <c r="N513" s="522"/>
    </row>
    <row r="514" spans="1:14" s="523" customFormat="1" ht="15">
      <c r="A514" s="522"/>
      <c r="B514" s="508" t="s">
        <v>2117</v>
      </c>
      <c r="C514" s="490">
        <v>-16.100000000000001</v>
      </c>
      <c r="D514" s="490">
        <v>131</v>
      </c>
      <c r="E514" s="492" t="s">
        <v>273</v>
      </c>
      <c r="F514" s="492" t="s">
        <v>273</v>
      </c>
      <c r="G514" s="492" t="s">
        <v>273</v>
      </c>
      <c r="H514" s="490">
        <v>1.3</v>
      </c>
      <c r="I514" s="492" t="s">
        <v>273</v>
      </c>
      <c r="J514" s="492" t="s">
        <v>273</v>
      </c>
      <c r="K514" s="490">
        <v>1</v>
      </c>
      <c r="L514" s="490">
        <v>4</v>
      </c>
      <c r="M514" s="490">
        <v>1</v>
      </c>
      <c r="N514" s="522"/>
    </row>
    <row r="515" spans="1:14" s="523" customFormat="1" ht="15">
      <c r="A515" s="522"/>
      <c r="B515" s="508" t="s">
        <v>2117</v>
      </c>
      <c r="C515" s="490">
        <v>-16.100000000000001</v>
      </c>
      <c r="D515" s="490">
        <v>131</v>
      </c>
      <c r="E515" s="492" t="s">
        <v>273</v>
      </c>
      <c r="F515" s="492" t="s">
        <v>273</v>
      </c>
      <c r="G515" s="492" t="s">
        <v>273</v>
      </c>
      <c r="H515" s="490">
        <v>1.3</v>
      </c>
      <c r="I515" s="492" t="s">
        <v>273</v>
      </c>
      <c r="J515" s="492" t="s">
        <v>273</v>
      </c>
      <c r="K515" s="490">
        <v>1</v>
      </c>
      <c r="L515" s="490">
        <v>4</v>
      </c>
      <c r="M515" s="490">
        <v>1</v>
      </c>
      <c r="N515" s="522"/>
    </row>
    <row r="516" spans="1:14" s="523" customFormat="1" ht="15">
      <c r="A516" s="522"/>
      <c r="B516" s="508" t="s">
        <v>2117</v>
      </c>
      <c r="C516" s="490">
        <v>-16.100000000000001</v>
      </c>
      <c r="D516" s="490">
        <v>131</v>
      </c>
      <c r="E516" s="492" t="s">
        <v>273</v>
      </c>
      <c r="F516" s="492" t="s">
        <v>273</v>
      </c>
      <c r="G516" s="492" t="s">
        <v>273</v>
      </c>
      <c r="H516" s="490">
        <v>1.3</v>
      </c>
      <c r="I516" s="492" t="s">
        <v>273</v>
      </c>
      <c r="J516" s="492" t="s">
        <v>273</v>
      </c>
      <c r="K516" s="490">
        <v>1</v>
      </c>
      <c r="L516" s="490">
        <v>4</v>
      </c>
      <c r="M516" s="490">
        <v>1</v>
      </c>
      <c r="N516" s="522"/>
    </row>
    <row r="517" spans="1:14" s="523" customFormat="1" ht="15">
      <c r="A517" s="522"/>
      <c r="B517" s="508" t="s">
        <v>2117</v>
      </c>
      <c r="C517" s="490">
        <v>-16.100000000000001</v>
      </c>
      <c r="D517" s="490">
        <v>131</v>
      </c>
      <c r="E517" s="492" t="s">
        <v>273</v>
      </c>
      <c r="F517" s="492" t="s">
        <v>273</v>
      </c>
      <c r="G517" s="492" t="s">
        <v>273</v>
      </c>
      <c r="H517" s="490">
        <v>1.2</v>
      </c>
      <c r="I517" s="492" t="s">
        <v>273</v>
      </c>
      <c r="J517" s="492" t="s">
        <v>273</v>
      </c>
      <c r="K517" s="490">
        <v>1</v>
      </c>
      <c r="L517" s="490">
        <v>4</v>
      </c>
      <c r="M517" s="490">
        <v>1</v>
      </c>
      <c r="N517" s="522"/>
    </row>
    <row r="518" spans="1:14" s="523" customFormat="1" ht="15">
      <c r="A518" s="522"/>
      <c r="B518" s="508" t="s">
        <v>2117</v>
      </c>
      <c r="C518" s="490">
        <v>-16.100000000000001</v>
      </c>
      <c r="D518" s="490">
        <v>131</v>
      </c>
      <c r="E518" s="492" t="s">
        <v>273</v>
      </c>
      <c r="F518" s="492" t="s">
        <v>273</v>
      </c>
      <c r="G518" s="492" t="s">
        <v>273</v>
      </c>
      <c r="H518" s="509">
        <v>0.5</v>
      </c>
      <c r="I518" s="492" t="s">
        <v>273</v>
      </c>
      <c r="J518" s="492" t="s">
        <v>273</v>
      </c>
      <c r="K518" s="490">
        <v>1</v>
      </c>
      <c r="L518" s="490">
        <v>4</v>
      </c>
      <c r="M518" s="490">
        <v>1</v>
      </c>
      <c r="N518" s="522"/>
    </row>
    <row r="519" spans="1:14" s="523" customFormat="1" ht="15">
      <c r="A519" s="522"/>
      <c r="B519" s="508" t="s">
        <v>2117</v>
      </c>
      <c r="C519" s="490">
        <v>-16.100000000000001</v>
      </c>
      <c r="D519" s="490">
        <v>131</v>
      </c>
      <c r="E519" s="492" t="s">
        <v>273</v>
      </c>
      <c r="F519" s="492" t="s">
        <v>273</v>
      </c>
      <c r="G519" s="492" t="s">
        <v>273</v>
      </c>
      <c r="H519" s="509">
        <v>1.9</v>
      </c>
      <c r="I519" s="492" t="s">
        <v>273</v>
      </c>
      <c r="J519" s="492" t="s">
        <v>273</v>
      </c>
      <c r="K519" s="490">
        <v>1</v>
      </c>
      <c r="L519" s="490">
        <v>4</v>
      </c>
      <c r="M519" s="490">
        <v>2</v>
      </c>
      <c r="N519" s="522"/>
    </row>
    <row r="520" spans="1:14" s="523" customFormat="1" ht="15">
      <c r="A520" s="522"/>
      <c r="B520" s="508" t="s">
        <v>1855</v>
      </c>
      <c r="C520" s="490">
        <v>-12.6</v>
      </c>
      <c r="D520" s="490">
        <v>131</v>
      </c>
      <c r="E520" s="492" t="s">
        <v>273</v>
      </c>
      <c r="F520" s="492" t="s">
        <v>273</v>
      </c>
      <c r="G520" s="492" t="s">
        <v>273</v>
      </c>
      <c r="H520" s="490">
        <v>8.8000000000000007</v>
      </c>
      <c r="I520" s="492" t="s">
        <v>273</v>
      </c>
      <c r="J520" s="492" t="s">
        <v>273</v>
      </c>
      <c r="K520" s="490">
        <v>1</v>
      </c>
      <c r="L520" s="490">
        <v>4</v>
      </c>
      <c r="M520" s="490">
        <v>1</v>
      </c>
      <c r="N520" s="522"/>
    </row>
    <row r="521" spans="1:14" s="523" customFormat="1" ht="15">
      <c r="A521" s="522"/>
      <c r="B521" s="508" t="s">
        <v>1855</v>
      </c>
      <c r="C521" s="490">
        <v>-12.6</v>
      </c>
      <c r="D521" s="490">
        <v>131</v>
      </c>
      <c r="E521" s="492" t="s">
        <v>273</v>
      </c>
      <c r="F521" s="492" t="s">
        <v>273</v>
      </c>
      <c r="G521" s="492" t="s">
        <v>273</v>
      </c>
      <c r="H521" s="490">
        <v>8.1</v>
      </c>
      <c r="I521" s="492" t="s">
        <v>273</v>
      </c>
      <c r="J521" s="492" t="s">
        <v>273</v>
      </c>
      <c r="K521" s="490">
        <v>1</v>
      </c>
      <c r="L521" s="490">
        <v>4</v>
      </c>
      <c r="M521" s="490">
        <v>1</v>
      </c>
      <c r="N521" s="522"/>
    </row>
    <row r="522" spans="1:14" s="523" customFormat="1" ht="15">
      <c r="A522" s="522"/>
      <c r="B522" s="508" t="s">
        <v>1855</v>
      </c>
      <c r="C522" s="490">
        <v>-12.6</v>
      </c>
      <c r="D522" s="490">
        <v>131</v>
      </c>
      <c r="E522" s="492" t="s">
        <v>273</v>
      </c>
      <c r="F522" s="492" t="s">
        <v>273</v>
      </c>
      <c r="G522" s="492" t="s">
        <v>273</v>
      </c>
      <c r="H522" s="490">
        <v>7.5</v>
      </c>
      <c r="I522" s="492" t="s">
        <v>273</v>
      </c>
      <c r="J522" s="492" t="s">
        <v>273</v>
      </c>
      <c r="K522" s="490">
        <v>1</v>
      </c>
      <c r="L522" s="490">
        <v>4</v>
      </c>
      <c r="M522" s="490">
        <v>1</v>
      </c>
      <c r="N522" s="522"/>
    </row>
    <row r="523" spans="1:14" s="523" customFormat="1" ht="15">
      <c r="A523" s="522"/>
      <c r="B523" s="508" t="s">
        <v>1855</v>
      </c>
      <c r="C523" s="490">
        <v>-12.6</v>
      </c>
      <c r="D523" s="490">
        <v>131</v>
      </c>
      <c r="E523" s="492" t="s">
        <v>273</v>
      </c>
      <c r="F523" s="492" t="s">
        <v>273</v>
      </c>
      <c r="G523" s="492" t="s">
        <v>273</v>
      </c>
      <c r="H523" s="490">
        <v>7</v>
      </c>
      <c r="I523" s="492" t="s">
        <v>273</v>
      </c>
      <c r="J523" s="492" t="s">
        <v>273</v>
      </c>
      <c r="K523" s="490">
        <v>1</v>
      </c>
      <c r="L523" s="490">
        <v>4</v>
      </c>
      <c r="M523" s="490">
        <v>1</v>
      </c>
      <c r="N523" s="522"/>
    </row>
    <row r="524" spans="1:14" s="523" customFormat="1" ht="15">
      <c r="A524" s="522"/>
      <c r="B524" s="508" t="s">
        <v>1855</v>
      </c>
      <c r="C524" s="490">
        <v>-12.6</v>
      </c>
      <c r="D524" s="490">
        <v>131</v>
      </c>
      <c r="E524" s="492" t="s">
        <v>273</v>
      </c>
      <c r="F524" s="492" t="s">
        <v>273</v>
      </c>
      <c r="G524" s="492" t="s">
        <v>273</v>
      </c>
      <c r="H524" s="490">
        <v>7.9</v>
      </c>
      <c r="I524" s="492" t="s">
        <v>273</v>
      </c>
      <c r="J524" s="492" t="s">
        <v>273</v>
      </c>
      <c r="K524" s="490">
        <v>1</v>
      </c>
      <c r="L524" s="490">
        <v>4</v>
      </c>
      <c r="M524" s="490">
        <v>2</v>
      </c>
      <c r="N524" s="522"/>
    </row>
    <row r="525" spans="1:14" s="523" customFormat="1" ht="15">
      <c r="A525" s="522"/>
      <c r="B525" s="508" t="s">
        <v>1856</v>
      </c>
      <c r="C525" s="490">
        <v>-17</v>
      </c>
      <c r="D525" s="490">
        <v>131</v>
      </c>
      <c r="E525" s="492" t="s">
        <v>273</v>
      </c>
      <c r="F525" s="492" t="s">
        <v>273</v>
      </c>
      <c r="G525" s="492" t="s">
        <v>273</v>
      </c>
      <c r="H525" s="490">
        <v>3.4</v>
      </c>
      <c r="I525" s="492" t="s">
        <v>273</v>
      </c>
      <c r="J525" s="492" t="s">
        <v>273</v>
      </c>
      <c r="K525" s="490">
        <v>1</v>
      </c>
      <c r="L525" s="490">
        <v>4</v>
      </c>
      <c r="M525" s="490">
        <v>1</v>
      </c>
      <c r="N525" s="522"/>
    </row>
    <row r="526" spans="1:14" s="523" customFormat="1" ht="15">
      <c r="A526" s="522"/>
      <c r="B526" s="508" t="s">
        <v>1856</v>
      </c>
      <c r="C526" s="490">
        <v>-17</v>
      </c>
      <c r="D526" s="490">
        <v>131</v>
      </c>
      <c r="E526" s="492" t="s">
        <v>273</v>
      </c>
      <c r="F526" s="492" t="s">
        <v>273</v>
      </c>
      <c r="G526" s="492" t="s">
        <v>273</v>
      </c>
      <c r="H526" s="490">
        <v>3.2</v>
      </c>
      <c r="I526" s="492" t="s">
        <v>273</v>
      </c>
      <c r="J526" s="492" t="s">
        <v>273</v>
      </c>
      <c r="K526" s="490">
        <v>1</v>
      </c>
      <c r="L526" s="490">
        <v>4</v>
      </c>
      <c r="M526" s="490">
        <v>1</v>
      </c>
      <c r="N526" s="522"/>
    </row>
    <row r="527" spans="1:14" s="523" customFormat="1" ht="15">
      <c r="A527" s="522"/>
      <c r="B527" s="508" t="s">
        <v>1856</v>
      </c>
      <c r="C527" s="490">
        <v>-17</v>
      </c>
      <c r="D527" s="490">
        <v>131</v>
      </c>
      <c r="E527" s="492" t="s">
        <v>273</v>
      </c>
      <c r="F527" s="492" t="s">
        <v>273</v>
      </c>
      <c r="G527" s="492" t="s">
        <v>273</v>
      </c>
      <c r="H527" s="490">
        <v>3.2</v>
      </c>
      <c r="I527" s="492" t="s">
        <v>273</v>
      </c>
      <c r="J527" s="492" t="s">
        <v>273</v>
      </c>
      <c r="K527" s="490">
        <v>1</v>
      </c>
      <c r="L527" s="490">
        <v>4</v>
      </c>
      <c r="M527" s="490">
        <v>1</v>
      </c>
      <c r="N527" s="522"/>
    </row>
    <row r="528" spans="1:14" s="523" customFormat="1" ht="15">
      <c r="A528" s="522"/>
      <c r="B528" s="508" t="s">
        <v>1856</v>
      </c>
      <c r="C528" s="490">
        <v>-17</v>
      </c>
      <c r="D528" s="490">
        <v>131</v>
      </c>
      <c r="E528" s="492" t="s">
        <v>273</v>
      </c>
      <c r="F528" s="492" t="s">
        <v>273</v>
      </c>
      <c r="G528" s="492" t="s">
        <v>273</v>
      </c>
      <c r="H528" s="490">
        <v>2.6</v>
      </c>
      <c r="I528" s="492" t="s">
        <v>273</v>
      </c>
      <c r="J528" s="492" t="s">
        <v>273</v>
      </c>
      <c r="K528" s="490">
        <v>1</v>
      </c>
      <c r="L528" s="490">
        <v>4</v>
      </c>
      <c r="M528" s="490">
        <v>1</v>
      </c>
      <c r="N528" s="522"/>
    </row>
    <row r="529" spans="1:14" s="523" customFormat="1" ht="15">
      <c r="A529" s="522"/>
      <c r="B529" s="508" t="s">
        <v>1856</v>
      </c>
      <c r="C529" s="490">
        <v>-17</v>
      </c>
      <c r="D529" s="490">
        <v>131</v>
      </c>
      <c r="E529" s="492" t="s">
        <v>273</v>
      </c>
      <c r="F529" s="492" t="s">
        <v>273</v>
      </c>
      <c r="G529" s="492" t="s">
        <v>273</v>
      </c>
      <c r="H529" s="490">
        <v>2.1</v>
      </c>
      <c r="I529" s="492" t="s">
        <v>273</v>
      </c>
      <c r="J529" s="492" t="s">
        <v>273</v>
      </c>
      <c r="K529" s="490">
        <v>1</v>
      </c>
      <c r="L529" s="490">
        <v>4</v>
      </c>
      <c r="M529" s="490">
        <v>1</v>
      </c>
      <c r="N529" s="522"/>
    </row>
    <row r="530" spans="1:14" s="523" customFormat="1" ht="15">
      <c r="A530" s="522"/>
      <c r="B530" s="508" t="s">
        <v>1856</v>
      </c>
      <c r="C530" s="490">
        <v>-17</v>
      </c>
      <c r="D530" s="490">
        <v>131</v>
      </c>
      <c r="E530" s="492" t="s">
        <v>273</v>
      </c>
      <c r="F530" s="492" t="s">
        <v>273</v>
      </c>
      <c r="G530" s="492" t="s">
        <v>273</v>
      </c>
      <c r="H530" s="490">
        <v>1.9</v>
      </c>
      <c r="I530" s="492" t="s">
        <v>273</v>
      </c>
      <c r="J530" s="492" t="s">
        <v>273</v>
      </c>
      <c r="K530" s="490">
        <v>1</v>
      </c>
      <c r="L530" s="490">
        <v>4</v>
      </c>
      <c r="M530" s="490">
        <v>1</v>
      </c>
      <c r="N530" s="522"/>
    </row>
    <row r="531" spans="1:14" s="523" customFormat="1" ht="15">
      <c r="A531" s="522"/>
      <c r="B531" s="508" t="s">
        <v>1856</v>
      </c>
      <c r="C531" s="490">
        <v>-17</v>
      </c>
      <c r="D531" s="490">
        <v>131</v>
      </c>
      <c r="E531" s="492" t="s">
        <v>273</v>
      </c>
      <c r="F531" s="492" t="s">
        <v>273</v>
      </c>
      <c r="G531" s="492" t="s">
        <v>273</v>
      </c>
      <c r="H531" s="490">
        <v>1.9</v>
      </c>
      <c r="I531" s="492" t="s">
        <v>273</v>
      </c>
      <c r="J531" s="492" t="s">
        <v>273</v>
      </c>
      <c r="K531" s="490">
        <v>1</v>
      </c>
      <c r="L531" s="490">
        <v>4</v>
      </c>
      <c r="M531" s="490">
        <v>1</v>
      </c>
      <c r="N531" s="522"/>
    </row>
    <row r="532" spans="1:14" s="523" customFormat="1" ht="15">
      <c r="A532" s="522"/>
      <c r="B532" s="508" t="s">
        <v>1856</v>
      </c>
      <c r="C532" s="490">
        <v>-17</v>
      </c>
      <c r="D532" s="490">
        <v>131</v>
      </c>
      <c r="E532" s="492" t="s">
        <v>273</v>
      </c>
      <c r="F532" s="492" t="s">
        <v>273</v>
      </c>
      <c r="G532" s="492" t="s">
        <v>273</v>
      </c>
      <c r="H532" s="490">
        <v>0.8</v>
      </c>
      <c r="I532" s="492" t="s">
        <v>273</v>
      </c>
      <c r="J532" s="492" t="s">
        <v>273</v>
      </c>
      <c r="K532" s="490">
        <v>1</v>
      </c>
      <c r="L532" s="490">
        <v>4</v>
      </c>
      <c r="M532" s="490">
        <v>1</v>
      </c>
      <c r="N532" s="522"/>
    </row>
    <row r="533" spans="1:14" s="523" customFormat="1" ht="15">
      <c r="A533" s="522"/>
      <c r="B533" s="508" t="s">
        <v>1856</v>
      </c>
      <c r="C533" s="490">
        <v>-17</v>
      </c>
      <c r="D533" s="490">
        <v>131</v>
      </c>
      <c r="E533" s="492" t="s">
        <v>273</v>
      </c>
      <c r="F533" s="492" t="s">
        <v>273</v>
      </c>
      <c r="G533" s="492" t="s">
        <v>273</v>
      </c>
      <c r="H533" s="490">
        <v>0.6</v>
      </c>
      <c r="I533" s="492" t="s">
        <v>273</v>
      </c>
      <c r="J533" s="492" t="s">
        <v>273</v>
      </c>
      <c r="K533" s="490">
        <v>1</v>
      </c>
      <c r="L533" s="490">
        <v>4</v>
      </c>
      <c r="M533" s="490">
        <v>1</v>
      </c>
      <c r="N533" s="522"/>
    </row>
    <row r="534" spans="1:14" s="523" customFormat="1" ht="15">
      <c r="A534" s="522"/>
      <c r="B534" s="508" t="s">
        <v>1856</v>
      </c>
      <c r="C534" s="490">
        <v>-17</v>
      </c>
      <c r="D534" s="490">
        <v>131</v>
      </c>
      <c r="E534" s="492" t="s">
        <v>273</v>
      </c>
      <c r="F534" s="492" t="s">
        <v>273</v>
      </c>
      <c r="G534" s="492" t="s">
        <v>273</v>
      </c>
      <c r="H534" s="490">
        <v>2.2000000000000002</v>
      </c>
      <c r="I534" s="492" t="s">
        <v>273</v>
      </c>
      <c r="J534" s="492" t="s">
        <v>273</v>
      </c>
      <c r="K534" s="490">
        <v>1</v>
      </c>
      <c r="L534" s="490">
        <v>4</v>
      </c>
      <c r="M534" s="490">
        <v>2</v>
      </c>
      <c r="N534" s="522"/>
    </row>
    <row r="535" spans="1:14" s="523" customFormat="1" ht="15">
      <c r="A535" s="522"/>
      <c r="B535" s="508" t="s">
        <v>2017</v>
      </c>
      <c r="C535" s="490">
        <v>-12.7</v>
      </c>
      <c r="D535" s="490">
        <v>131.1</v>
      </c>
      <c r="E535" s="492" t="s">
        <v>273</v>
      </c>
      <c r="F535" s="492" t="s">
        <v>273</v>
      </c>
      <c r="G535" s="492" t="s">
        <v>273</v>
      </c>
      <c r="H535" s="490">
        <v>17.2</v>
      </c>
      <c r="I535" s="492" t="s">
        <v>273</v>
      </c>
      <c r="J535" s="492" t="s">
        <v>273</v>
      </c>
      <c r="K535" s="490">
        <v>1</v>
      </c>
      <c r="L535" s="490">
        <v>4</v>
      </c>
      <c r="M535" s="490">
        <v>1</v>
      </c>
      <c r="N535" s="522"/>
    </row>
    <row r="536" spans="1:14" s="523" customFormat="1" ht="15">
      <c r="A536" s="522"/>
      <c r="B536" s="508" t="s">
        <v>2017</v>
      </c>
      <c r="C536" s="490">
        <v>-12.7</v>
      </c>
      <c r="D536" s="490">
        <v>131.1</v>
      </c>
      <c r="E536" s="492" t="s">
        <v>273</v>
      </c>
      <c r="F536" s="492" t="s">
        <v>273</v>
      </c>
      <c r="G536" s="492" t="s">
        <v>273</v>
      </c>
      <c r="H536" s="497">
        <v>15.4</v>
      </c>
      <c r="I536" s="492" t="s">
        <v>273</v>
      </c>
      <c r="J536" s="492" t="s">
        <v>273</v>
      </c>
      <c r="K536" s="490">
        <v>1</v>
      </c>
      <c r="L536" s="490">
        <v>4</v>
      </c>
      <c r="M536" s="490">
        <v>1</v>
      </c>
      <c r="N536" s="522"/>
    </row>
    <row r="537" spans="1:14" s="523" customFormat="1" ht="15">
      <c r="A537" s="522"/>
      <c r="B537" s="508" t="s">
        <v>2017</v>
      </c>
      <c r="C537" s="490">
        <v>-12.7</v>
      </c>
      <c r="D537" s="490">
        <v>131.1</v>
      </c>
      <c r="E537" s="492" t="s">
        <v>273</v>
      </c>
      <c r="F537" s="492" t="s">
        <v>273</v>
      </c>
      <c r="G537" s="492" t="s">
        <v>273</v>
      </c>
      <c r="H537" s="497">
        <v>12</v>
      </c>
      <c r="I537" s="492" t="s">
        <v>273</v>
      </c>
      <c r="J537" s="492" t="s">
        <v>273</v>
      </c>
      <c r="K537" s="490">
        <v>1</v>
      </c>
      <c r="L537" s="490">
        <v>4</v>
      </c>
      <c r="M537" s="490">
        <v>1</v>
      </c>
      <c r="N537" s="522"/>
    </row>
    <row r="538" spans="1:14" s="523" customFormat="1" ht="15">
      <c r="A538" s="522"/>
      <c r="B538" s="508" t="s">
        <v>2017</v>
      </c>
      <c r="C538" s="490">
        <v>-12.7</v>
      </c>
      <c r="D538" s="490">
        <v>131.1</v>
      </c>
      <c r="E538" s="492" t="s">
        <v>273</v>
      </c>
      <c r="F538" s="492" t="s">
        <v>273</v>
      </c>
      <c r="G538" s="492" t="s">
        <v>273</v>
      </c>
      <c r="H538" s="497">
        <v>11.2</v>
      </c>
      <c r="I538" s="492" t="s">
        <v>273</v>
      </c>
      <c r="J538" s="492" t="s">
        <v>273</v>
      </c>
      <c r="K538" s="490">
        <v>1</v>
      </c>
      <c r="L538" s="490">
        <v>4</v>
      </c>
      <c r="M538" s="490">
        <v>1</v>
      </c>
      <c r="N538" s="522"/>
    </row>
    <row r="539" spans="1:14" s="523" customFormat="1" ht="15">
      <c r="A539" s="522"/>
      <c r="B539" s="508" t="s">
        <v>2017</v>
      </c>
      <c r="C539" s="490">
        <v>-12.7</v>
      </c>
      <c r="D539" s="490">
        <v>131.1</v>
      </c>
      <c r="E539" s="492" t="s">
        <v>273</v>
      </c>
      <c r="F539" s="492" t="s">
        <v>273</v>
      </c>
      <c r="G539" s="492" t="s">
        <v>273</v>
      </c>
      <c r="H539" s="497">
        <v>3.9</v>
      </c>
      <c r="I539" s="492" t="s">
        <v>273</v>
      </c>
      <c r="J539" s="492" t="s">
        <v>273</v>
      </c>
      <c r="K539" s="490">
        <v>1</v>
      </c>
      <c r="L539" s="490">
        <v>4</v>
      </c>
      <c r="M539" s="490">
        <v>1</v>
      </c>
      <c r="N539" s="522"/>
    </row>
    <row r="540" spans="1:14" s="523" customFormat="1" ht="15">
      <c r="A540" s="522"/>
      <c r="B540" s="508" t="s">
        <v>2017</v>
      </c>
      <c r="C540" s="490">
        <v>-12.7</v>
      </c>
      <c r="D540" s="490">
        <v>131.1</v>
      </c>
      <c r="E540" s="492" t="s">
        <v>273</v>
      </c>
      <c r="F540" s="492" t="s">
        <v>273</v>
      </c>
      <c r="G540" s="492" t="s">
        <v>273</v>
      </c>
      <c r="H540" s="497">
        <v>3.8</v>
      </c>
      <c r="I540" s="492" t="s">
        <v>273</v>
      </c>
      <c r="J540" s="492" t="s">
        <v>273</v>
      </c>
      <c r="K540" s="490">
        <v>1</v>
      </c>
      <c r="L540" s="490">
        <v>4</v>
      </c>
      <c r="M540" s="490">
        <v>1</v>
      </c>
      <c r="N540" s="522"/>
    </row>
    <row r="541" spans="1:14" s="523" customFormat="1" ht="15">
      <c r="A541" s="522"/>
      <c r="B541" s="508" t="s">
        <v>2017</v>
      </c>
      <c r="C541" s="490">
        <v>-12.7</v>
      </c>
      <c r="D541" s="490">
        <v>131.1</v>
      </c>
      <c r="E541" s="492" t="s">
        <v>273</v>
      </c>
      <c r="F541" s="492" t="s">
        <v>273</v>
      </c>
      <c r="G541" s="492" t="s">
        <v>273</v>
      </c>
      <c r="H541" s="497">
        <v>2.7</v>
      </c>
      <c r="I541" s="492" t="s">
        <v>273</v>
      </c>
      <c r="J541" s="492" t="s">
        <v>273</v>
      </c>
      <c r="K541" s="490">
        <v>1</v>
      </c>
      <c r="L541" s="490">
        <v>4</v>
      </c>
      <c r="M541" s="490">
        <v>1</v>
      </c>
      <c r="N541" s="522"/>
    </row>
    <row r="542" spans="1:14" s="523" customFormat="1" ht="15">
      <c r="A542" s="522"/>
      <c r="B542" s="508" t="s">
        <v>2017</v>
      </c>
      <c r="C542" s="490">
        <v>-12.7</v>
      </c>
      <c r="D542" s="490">
        <v>131.1</v>
      </c>
      <c r="E542" s="492" t="s">
        <v>273</v>
      </c>
      <c r="F542" s="492" t="s">
        <v>273</v>
      </c>
      <c r="G542" s="492" t="s">
        <v>273</v>
      </c>
      <c r="H542" s="490">
        <v>2.5</v>
      </c>
      <c r="I542" s="492" t="s">
        <v>273</v>
      </c>
      <c r="J542" s="492" t="s">
        <v>273</v>
      </c>
      <c r="K542" s="490">
        <v>1</v>
      </c>
      <c r="L542" s="490">
        <v>4</v>
      </c>
      <c r="M542" s="490">
        <v>1</v>
      </c>
      <c r="N542" s="522"/>
    </row>
    <row r="543" spans="1:14" s="523" customFormat="1" ht="15">
      <c r="A543" s="522"/>
      <c r="B543" s="508" t="s">
        <v>2017</v>
      </c>
      <c r="C543" s="490">
        <v>-12.7</v>
      </c>
      <c r="D543" s="490">
        <v>131.1</v>
      </c>
      <c r="E543" s="492" t="s">
        <v>273</v>
      </c>
      <c r="F543" s="492" t="s">
        <v>273</v>
      </c>
      <c r="G543" s="492" t="s">
        <v>273</v>
      </c>
      <c r="H543" s="490">
        <v>8.6</v>
      </c>
      <c r="I543" s="492" t="s">
        <v>273</v>
      </c>
      <c r="J543" s="492" t="s">
        <v>273</v>
      </c>
      <c r="K543" s="490">
        <v>1</v>
      </c>
      <c r="L543" s="490">
        <v>4</v>
      </c>
      <c r="M543" s="490">
        <v>2</v>
      </c>
      <c r="N543" s="522"/>
    </row>
    <row r="544" spans="1:14" s="523" customFormat="1" ht="15">
      <c r="A544" s="522"/>
      <c r="B544" s="508" t="s">
        <v>2018</v>
      </c>
      <c r="C544" s="490">
        <v>-12.7</v>
      </c>
      <c r="D544" s="490">
        <v>131.80000000000001</v>
      </c>
      <c r="E544" s="492" t="s">
        <v>273</v>
      </c>
      <c r="F544" s="492" t="s">
        <v>273</v>
      </c>
      <c r="G544" s="492" t="s">
        <v>273</v>
      </c>
      <c r="H544" s="490">
        <v>10.199999999999999</v>
      </c>
      <c r="I544" s="492" t="s">
        <v>273</v>
      </c>
      <c r="J544" s="492" t="s">
        <v>273</v>
      </c>
      <c r="K544" s="490">
        <v>1</v>
      </c>
      <c r="L544" s="490">
        <v>4</v>
      </c>
      <c r="M544" s="490">
        <v>1</v>
      </c>
      <c r="N544" s="522"/>
    </row>
    <row r="545" spans="1:14" s="523" customFormat="1" ht="15">
      <c r="A545" s="522"/>
      <c r="B545" s="508" t="s">
        <v>2018</v>
      </c>
      <c r="C545" s="490">
        <v>-12.7</v>
      </c>
      <c r="D545" s="490">
        <v>131.80000000000001</v>
      </c>
      <c r="E545" s="492" t="s">
        <v>273</v>
      </c>
      <c r="F545" s="492" t="s">
        <v>273</v>
      </c>
      <c r="G545" s="492" t="s">
        <v>273</v>
      </c>
      <c r="H545" s="490">
        <v>7.2</v>
      </c>
      <c r="I545" s="492" t="s">
        <v>273</v>
      </c>
      <c r="J545" s="492" t="s">
        <v>273</v>
      </c>
      <c r="K545" s="490">
        <v>1</v>
      </c>
      <c r="L545" s="490">
        <v>4</v>
      </c>
      <c r="M545" s="490">
        <v>1</v>
      </c>
      <c r="N545" s="522"/>
    </row>
    <row r="546" spans="1:14" s="523" customFormat="1" ht="15">
      <c r="A546" s="522"/>
      <c r="B546" s="508" t="s">
        <v>2018</v>
      </c>
      <c r="C546" s="490">
        <v>-12.7</v>
      </c>
      <c r="D546" s="490">
        <v>131.80000000000001</v>
      </c>
      <c r="E546" s="492" t="s">
        <v>273</v>
      </c>
      <c r="F546" s="492" t="s">
        <v>273</v>
      </c>
      <c r="G546" s="492" t="s">
        <v>273</v>
      </c>
      <c r="H546" s="490">
        <v>3.4</v>
      </c>
      <c r="I546" s="492" t="s">
        <v>273</v>
      </c>
      <c r="J546" s="492" t="s">
        <v>273</v>
      </c>
      <c r="K546" s="490">
        <v>1</v>
      </c>
      <c r="L546" s="490">
        <v>4</v>
      </c>
      <c r="M546" s="490">
        <v>1</v>
      </c>
      <c r="N546" s="522"/>
    </row>
    <row r="547" spans="1:14" s="523" customFormat="1" ht="15">
      <c r="A547" s="522"/>
      <c r="B547" s="508" t="s">
        <v>2018</v>
      </c>
      <c r="C547" s="490">
        <v>-12.7</v>
      </c>
      <c r="D547" s="490">
        <v>131.80000000000001</v>
      </c>
      <c r="E547" s="492" t="s">
        <v>273</v>
      </c>
      <c r="F547" s="492" t="s">
        <v>273</v>
      </c>
      <c r="G547" s="492" t="s">
        <v>273</v>
      </c>
      <c r="H547" s="491">
        <v>6.9</v>
      </c>
      <c r="I547" s="492" t="s">
        <v>273</v>
      </c>
      <c r="J547" s="492" t="s">
        <v>273</v>
      </c>
      <c r="K547" s="490">
        <v>1</v>
      </c>
      <c r="L547" s="490">
        <v>4</v>
      </c>
      <c r="M547" s="490">
        <v>2</v>
      </c>
      <c r="N547" s="522"/>
    </row>
    <row r="548" spans="1:14" s="523" customFormat="1" ht="15">
      <c r="A548" s="522"/>
      <c r="B548" s="508" t="s">
        <v>2019</v>
      </c>
      <c r="C548" s="490">
        <v>-17.399999999999999</v>
      </c>
      <c r="D548" s="490">
        <v>125.11</v>
      </c>
      <c r="E548" s="492" t="s">
        <v>273</v>
      </c>
      <c r="F548" s="492" t="s">
        <v>273</v>
      </c>
      <c r="G548" s="492" t="s">
        <v>273</v>
      </c>
      <c r="H548" s="491">
        <v>12.5</v>
      </c>
      <c r="I548" s="492" t="s">
        <v>273</v>
      </c>
      <c r="J548" s="492" t="s">
        <v>273</v>
      </c>
      <c r="K548" s="490">
        <v>1</v>
      </c>
      <c r="L548" s="490">
        <v>4</v>
      </c>
      <c r="M548" s="490">
        <v>3</v>
      </c>
      <c r="N548" s="522"/>
    </row>
    <row r="549" spans="1:14" s="523" customFormat="1" ht="15">
      <c r="A549" s="522"/>
      <c r="B549" s="508" t="s">
        <v>2020</v>
      </c>
      <c r="C549" s="490">
        <v>-21.11</v>
      </c>
      <c r="D549" s="490">
        <v>145.13999999999999</v>
      </c>
      <c r="E549" s="492" t="s">
        <v>273</v>
      </c>
      <c r="F549" s="492" t="s">
        <v>273</v>
      </c>
      <c r="G549" s="492" t="s">
        <v>273</v>
      </c>
      <c r="H549" s="490">
        <v>6.4</v>
      </c>
      <c r="I549" s="492" t="s">
        <v>273</v>
      </c>
      <c r="J549" s="492" t="s">
        <v>273</v>
      </c>
      <c r="K549" s="490">
        <v>1</v>
      </c>
      <c r="L549" s="490">
        <v>4</v>
      </c>
      <c r="M549" s="490">
        <v>1</v>
      </c>
      <c r="N549" s="522"/>
    </row>
    <row r="550" spans="1:14" s="523" customFormat="1" ht="15">
      <c r="A550" s="522"/>
      <c r="B550" s="508" t="s">
        <v>2020</v>
      </c>
      <c r="C550" s="490">
        <v>-21.11</v>
      </c>
      <c r="D550" s="490">
        <v>145.13999999999999</v>
      </c>
      <c r="E550" s="492" t="s">
        <v>273</v>
      </c>
      <c r="F550" s="492" t="s">
        <v>273</v>
      </c>
      <c r="G550" s="492" t="s">
        <v>273</v>
      </c>
      <c r="H550" s="490">
        <v>5.3</v>
      </c>
      <c r="I550" s="492" t="s">
        <v>273</v>
      </c>
      <c r="J550" s="492" t="s">
        <v>273</v>
      </c>
      <c r="K550" s="490">
        <v>1</v>
      </c>
      <c r="L550" s="490">
        <v>4</v>
      </c>
      <c r="M550" s="490">
        <v>1</v>
      </c>
      <c r="N550" s="522"/>
    </row>
    <row r="551" spans="1:14" s="523" customFormat="1" ht="15">
      <c r="A551" s="522"/>
      <c r="B551" s="508" t="s">
        <v>2020</v>
      </c>
      <c r="C551" s="490">
        <v>-21.11</v>
      </c>
      <c r="D551" s="490">
        <v>145.13999999999999</v>
      </c>
      <c r="E551" s="492" t="s">
        <v>273</v>
      </c>
      <c r="F551" s="492" t="s">
        <v>273</v>
      </c>
      <c r="G551" s="492" t="s">
        <v>273</v>
      </c>
      <c r="H551" s="490">
        <v>3.4</v>
      </c>
      <c r="I551" s="492" t="s">
        <v>273</v>
      </c>
      <c r="J551" s="492" t="s">
        <v>273</v>
      </c>
      <c r="K551" s="490">
        <v>1</v>
      </c>
      <c r="L551" s="490">
        <v>4</v>
      </c>
      <c r="M551" s="490">
        <v>1</v>
      </c>
      <c r="N551" s="522"/>
    </row>
    <row r="552" spans="1:14" s="523" customFormat="1" ht="15">
      <c r="A552" s="522"/>
      <c r="B552" s="508" t="s">
        <v>2020</v>
      </c>
      <c r="C552" s="490">
        <v>-21.11</v>
      </c>
      <c r="D552" s="490">
        <v>145.13999999999999</v>
      </c>
      <c r="E552" s="492" t="s">
        <v>273</v>
      </c>
      <c r="F552" s="492" t="s">
        <v>273</v>
      </c>
      <c r="G552" s="492" t="s">
        <v>273</v>
      </c>
      <c r="H552" s="490">
        <v>3</v>
      </c>
      <c r="I552" s="492" t="s">
        <v>273</v>
      </c>
      <c r="J552" s="492" t="s">
        <v>273</v>
      </c>
      <c r="K552" s="490">
        <v>1</v>
      </c>
      <c r="L552" s="490">
        <v>4</v>
      </c>
      <c r="M552" s="490">
        <v>1</v>
      </c>
      <c r="N552" s="522"/>
    </row>
    <row r="553" spans="1:14" s="523" customFormat="1" ht="15">
      <c r="A553" s="522"/>
      <c r="B553" s="508" t="s">
        <v>2020</v>
      </c>
      <c r="C553" s="490">
        <v>-21.11</v>
      </c>
      <c r="D553" s="490">
        <v>145.13999999999999</v>
      </c>
      <c r="E553" s="492" t="s">
        <v>273</v>
      </c>
      <c r="F553" s="492" t="s">
        <v>273</v>
      </c>
      <c r="G553" s="492" t="s">
        <v>273</v>
      </c>
      <c r="H553" s="490">
        <v>3</v>
      </c>
      <c r="I553" s="492" t="s">
        <v>273</v>
      </c>
      <c r="J553" s="492" t="s">
        <v>273</v>
      </c>
      <c r="K553" s="490">
        <v>1</v>
      </c>
      <c r="L553" s="490">
        <v>4</v>
      </c>
      <c r="M553" s="490">
        <v>1</v>
      </c>
      <c r="N553" s="522"/>
    </row>
    <row r="554" spans="1:14" s="523" customFormat="1" ht="15">
      <c r="A554" s="522"/>
      <c r="B554" s="508" t="s">
        <v>2020</v>
      </c>
      <c r="C554" s="490">
        <v>-21.11</v>
      </c>
      <c r="D554" s="490">
        <v>145.13999999999999</v>
      </c>
      <c r="E554" s="492" t="s">
        <v>273</v>
      </c>
      <c r="F554" s="492" t="s">
        <v>273</v>
      </c>
      <c r="G554" s="492" t="s">
        <v>273</v>
      </c>
      <c r="H554" s="490">
        <v>2.8</v>
      </c>
      <c r="I554" s="492" t="s">
        <v>273</v>
      </c>
      <c r="J554" s="492" t="s">
        <v>273</v>
      </c>
      <c r="K554" s="490">
        <v>1</v>
      </c>
      <c r="L554" s="490">
        <v>4</v>
      </c>
      <c r="M554" s="490">
        <v>1</v>
      </c>
      <c r="N554" s="522"/>
    </row>
    <row r="555" spans="1:14" s="523" customFormat="1" ht="15">
      <c r="A555" s="522"/>
      <c r="B555" s="508" t="s">
        <v>2020</v>
      </c>
      <c r="C555" s="490">
        <v>-21.11</v>
      </c>
      <c r="D555" s="490">
        <v>145.13999999999999</v>
      </c>
      <c r="E555" s="492" t="s">
        <v>273</v>
      </c>
      <c r="F555" s="492" t="s">
        <v>273</v>
      </c>
      <c r="G555" s="492" t="s">
        <v>273</v>
      </c>
      <c r="H555" s="490">
        <v>2.6</v>
      </c>
      <c r="I555" s="492" t="s">
        <v>273</v>
      </c>
      <c r="J555" s="492" t="s">
        <v>273</v>
      </c>
      <c r="K555" s="490">
        <v>1</v>
      </c>
      <c r="L555" s="490">
        <v>4</v>
      </c>
      <c r="M555" s="490">
        <v>1</v>
      </c>
      <c r="N555" s="522"/>
    </row>
    <row r="556" spans="1:14" s="523" customFormat="1" ht="15">
      <c r="A556" s="522"/>
      <c r="B556" s="508" t="s">
        <v>2020</v>
      </c>
      <c r="C556" s="490">
        <v>-21.11</v>
      </c>
      <c r="D556" s="490">
        <v>145.13999999999999</v>
      </c>
      <c r="E556" s="492" t="s">
        <v>273</v>
      </c>
      <c r="F556" s="492" t="s">
        <v>273</v>
      </c>
      <c r="G556" s="492" t="s">
        <v>273</v>
      </c>
      <c r="H556" s="490">
        <v>2.6</v>
      </c>
      <c r="I556" s="492" t="s">
        <v>273</v>
      </c>
      <c r="J556" s="492" t="s">
        <v>273</v>
      </c>
      <c r="K556" s="490">
        <v>1</v>
      </c>
      <c r="L556" s="490">
        <v>4</v>
      </c>
      <c r="M556" s="490">
        <v>1</v>
      </c>
      <c r="N556" s="522"/>
    </row>
    <row r="557" spans="1:14" s="523" customFormat="1" ht="15">
      <c r="A557" s="522"/>
      <c r="B557" s="508" t="s">
        <v>2020</v>
      </c>
      <c r="C557" s="490">
        <v>-21.11</v>
      </c>
      <c r="D557" s="490">
        <v>145.13999999999999</v>
      </c>
      <c r="E557" s="492" t="s">
        <v>273</v>
      </c>
      <c r="F557" s="492" t="s">
        <v>273</v>
      </c>
      <c r="G557" s="492" t="s">
        <v>273</v>
      </c>
      <c r="H557" s="490">
        <v>2.5</v>
      </c>
      <c r="I557" s="492" t="s">
        <v>273</v>
      </c>
      <c r="J557" s="492" t="s">
        <v>273</v>
      </c>
      <c r="K557" s="490">
        <v>1</v>
      </c>
      <c r="L557" s="490">
        <v>4</v>
      </c>
      <c r="M557" s="490">
        <v>1</v>
      </c>
      <c r="N557" s="522"/>
    </row>
    <row r="558" spans="1:14" s="523" customFormat="1" ht="15">
      <c r="A558" s="522"/>
      <c r="B558" s="508" t="s">
        <v>2020</v>
      </c>
      <c r="C558" s="490">
        <v>-21.11</v>
      </c>
      <c r="D558" s="490">
        <v>145.13999999999999</v>
      </c>
      <c r="E558" s="492" t="s">
        <v>273</v>
      </c>
      <c r="F558" s="492" t="s">
        <v>273</v>
      </c>
      <c r="G558" s="492" t="s">
        <v>273</v>
      </c>
      <c r="H558" s="490">
        <v>2.5</v>
      </c>
      <c r="I558" s="492" t="s">
        <v>273</v>
      </c>
      <c r="J558" s="492" t="s">
        <v>273</v>
      </c>
      <c r="K558" s="490">
        <v>1</v>
      </c>
      <c r="L558" s="490">
        <v>4</v>
      </c>
      <c r="M558" s="490">
        <v>1</v>
      </c>
      <c r="N558" s="522"/>
    </row>
    <row r="559" spans="1:14" s="523" customFormat="1" ht="15">
      <c r="A559" s="522"/>
      <c r="B559" s="508" t="s">
        <v>2020</v>
      </c>
      <c r="C559" s="490">
        <v>-21.11</v>
      </c>
      <c r="D559" s="490">
        <v>145.13999999999999</v>
      </c>
      <c r="E559" s="492" t="s">
        <v>273</v>
      </c>
      <c r="F559" s="492" t="s">
        <v>273</v>
      </c>
      <c r="G559" s="492" t="s">
        <v>273</v>
      </c>
      <c r="H559" s="490">
        <v>2.5</v>
      </c>
      <c r="I559" s="492" t="s">
        <v>273</v>
      </c>
      <c r="J559" s="492" t="s">
        <v>273</v>
      </c>
      <c r="K559" s="490">
        <v>1</v>
      </c>
      <c r="L559" s="490">
        <v>4</v>
      </c>
      <c r="M559" s="490">
        <v>1</v>
      </c>
      <c r="N559" s="522"/>
    </row>
    <row r="560" spans="1:14" s="523" customFormat="1" ht="15">
      <c r="A560" s="522"/>
      <c r="B560" s="508" t="s">
        <v>2020</v>
      </c>
      <c r="C560" s="490">
        <v>-21.11</v>
      </c>
      <c r="D560" s="490">
        <v>145.13999999999999</v>
      </c>
      <c r="E560" s="492" t="s">
        <v>273</v>
      </c>
      <c r="F560" s="492" t="s">
        <v>273</v>
      </c>
      <c r="G560" s="492" t="s">
        <v>273</v>
      </c>
      <c r="H560" s="490">
        <v>2.2999999999999998</v>
      </c>
      <c r="I560" s="492" t="s">
        <v>273</v>
      </c>
      <c r="J560" s="492" t="s">
        <v>273</v>
      </c>
      <c r="K560" s="490">
        <v>1</v>
      </c>
      <c r="L560" s="490">
        <v>4</v>
      </c>
      <c r="M560" s="490">
        <v>1</v>
      </c>
      <c r="N560" s="522"/>
    </row>
    <row r="561" spans="1:14" s="523" customFormat="1" ht="15">
      <c r="A561" s="522"/>
      <c r="B561" s="508" t="s">
        <v>2020</v>
      </c>
      <c r="C561" s="490">
        <v>-21.11</v>
      </c>
      <c r="D561" s="490">
        <v>145.13999999999999</v>
      </c>
      <c r="E561" s="492" t="s">
        <v>273</v>
      </c>
      <c r="F561" s="492" t="s">
        <v>273</v>
      </c>
      <c r="G561" s="492" t="s">
        <v>273</v>
      </c>
      <c r="H561" s="490">
        <v>2.2999999999999998</v>
      </c>
      <c r="I561" s="492" t="s">
        <v>273</v>
      </c>
      <c r="J561" s="492" t="s">
        <v>273</v>
      </c>
      <c r="K561" s="490">
        <v>1</v>
      </c>
      <c r="L561" s="490">
        <v>4</v>
      </c>
      <c r="M561" s="490">
        <v>1</v>
      </c>
      <c r="N561" s="522"/>
    </row>
    <row r="562" spans="1:14" s="523" customFormat="1" ht="15">
      <c r="A562" s="522"/>
      <c r="B562" s="508" t="s">
        <v>2020</v>
      </c>
      <c r="C562" s="490">
        <v>-21.11</v>
      </c>
      <c r="D562" s="490">
        <v>145.13999999999999</v>
      </c>
      <c r="E562" s="492" t="s">
        <v>273</v>
      </c>
      <c r="F562" s="492" t="s">
        <v>273</v>
      </c>
      <c r="G562" s="492" t="s">
        <v>273</v>
      </c>
      <c r="H562" s="490">
        <v>2.2000000000000002</v>
      </c>
      <c r="I562" s="492" t="s">
        <v>273</v>
      </c>
      <c r="J562" s="492" t="s">
        <v>273</v>
      </c>
      <c r="K562" s="490">
        <v>1</v>
      </c>
      <c r="L562" s="490">
        <v>4</v>
      </c>
      <c r="M562" s="490">
        <v>1</v>
      </c>
      <c r="N562" s="522"/>
    </row>
    <row r="563" spans="1:14" s="523" customFormat="1" ht="15">
      <c r="A563" s="522"/>
      <c r="B563" s="508" t="s">
        <v>2020</v>
      </c>
      <c r="C563" s="490">
        <v>-21.11</v>
      </c>
      <c r="D563" s="490">
        <v>145.13999999999999</v>
      </c>
      <c r="E563" s="492" t="s">
        <v>273</v>
      </c>
      <c r="F563" s="492" t="s">
        <v>273</v>
      </c>
      <c r="G563" s="492" t="s">
        <v>273</v>
      </c>
      <c r="H563" s="490">
        <v>2.2000000000000002</v>
      </c>
      <c r="I563" s="492" t="s">
        <v>273</v>
      </c>
      <c r="J563" s="492" t="s">
        <v>273</v>
      </c>
      <c r="K563" s="490">
        <v>1</v>
      </c>
      <c r="L563" s="490">
        <v>4</v>
      </c>
      <c r="M563" s="490">
        <v>1</v>
      </c>
      <c r="N563" s="522"/>
    </row>
    <row r="564" spans="1:14" s="523" customFormat="1" ht="15">
      <c r="A564" s="522"/>
      <c r="B564" s="508" t="s">
        <v>2020</v>
      </c>
      <c r="C564" s="490">
        <v>-21.11</v>
      </c>
      <c r="D564" s="490">
        <v>145.13999999999999</v>
      </c>
      <c r="E564" s="492" t="s">
        <v>273</v>
      </c>
      <c r="F564" s="492" t="s">
        <v>273</v>
      </c>
      <c r="G564" s="492" t="s">
        <v>273</v>
      </c>
      <c r="H564" s="490">
        <v>2.1</v>
      </c>
      <c r="I564" s="492" t="s">
        <v>273</v>
      </c>
      <c r="J564" s="492" t="s">
        <v>273</v>
      </c>
      <c r="K564" s="490">
        <v>1</v>
      </c>
      <c r="L564" s="490">
        <v>4</v>
      </c>
      <c r="M564" s="490">
        <v>1</v>
      </c>
      <c r="N564" s="522"/>
    </row>
    <row r="565" spans="1:14" s="523" customFormat="1" ht="15">
      <c r="A565" s="522"/>
      <c r="B565" s="508" t="s">
        <v>2020</v>
      </c>
      <c r="C565" s="490">
        <v>-21.11</v>
      </c>
      <c r="D565" s="490">
        <v>145.13999999999999</v>
      </c>
      <c r="E565" s="492" t="s">
        <v>273</v>
      </c>
      <c r="F565" s="492" t="s">
        <v>273</v>
      </c>
      <c r="G565" s="492" t="s">
        <v>273</v>
      </c>
      <c r="H565" s="490">
        <v>2</v>
      </c>
      <c r="I565" s="492" t="s">
        <v>273</v>
      </c>
      <c r="J565" s="492" t="s">
        <v>273</v>
      </c>
      <c r="K565" s="490">
        <v>1</v>
      </c>
      <c r="L565" s="490">
        <v>4</v>
      </c>
      <c r="M565" s="490">
        <v>1</v>
      </c>
      <c r="N565" s="522"/>
    </row>
    <row r="566" spans="1:14" s="523" customFormat="1" ht="15">
      <c r="A566" s="522"/>
      <c r="B566" s="508" t="s">
        <v>2020</v>
      </c>
      <c r="C566" s="490">
        <v>-21.11</v>
      </c>
      <c r="D566" s="490">
        <v>145.13999999999999</v>
      </c>
      <c r="E566" s="492" t="s">
        <v>273</v>
      </c>
      <c r="F566" s="492" t="s">
        <v>273</v>
      </c>
      <c r="G566" s="492" t="s">
        <v>273</v>
      </c>
      <c r="H566" s="490">
        <v>2</v>
      </c>
      <c r="I566" s="492" t="s">
        <v>273</v>
      </c>
      <c r="J566" s="492" t="s">
        <v>273</v>
      </c>
      <c r="K566" s="490">
        <v>1</v>
      </c>
      <c r="L566" s="490">
        <v>4</v>
      </c>
      <c r="M566" s="490">
        <v>1</v>
      </c>
      <c r="N566" s="522"/>
    </row>
    <row r="567" spans="1:14" s="523" customFormat="1" ht="15">
      <c r="A567" s="522"/>
      <c r="B567" s="508" t="s">
        <v>2020</v>
      </c>
      <c r="C567" s="490">
        <v>-21.11</v>
      </c>
      <c r="D567" s="490">
        <v>145.13999999999999</v>
      </c>
      <c r="E567" s="492" t="s">
        <v>273</v>
      </c>
      <c r="F567" s="492" t="s">
        <v>273</v>
      </c>
      <c r="G567" s="492" t="s">
        <v>273</v>
      </c>
      <c r="H567" s="490">
        <v>2</v>
      </c>
      <c r="I567" s="492" t="s">
        <v>273</v>
      </c>
      <c r="J567" s="492" t="s">
        <v>273</v>
      </c>
      <c r="K567" s="490">
        <v>1</v>
      </c>
      <c r="L567" s="490">
        <v>4</v>
      </c>
      <c r="M567" s="490">
        <v>1</v>
      </c>
      <c r="N567" s="522"/>
    </row>
    <row r="568" spans="1:14" s="523" customFormat="1" ht="15">
      <c r="A568" s="522"/>
      <c r="B568" s="508" t="s">
        <v>2020</v>
      </c>
      <c r="C568" s="490">
        <v>-21.11</v>
      </c>
      <c r="D568" s="490">
        <v>145.13999999999999</v>
      </c>
      <c r="E568" s="492" t="s">
        <v>273</v>
      </c>
      <c r="F568" s="492" t="s">
        <v>273</v>
      </c>
      <c r="G568" s="492" t="s">
        <v>273</v>
      </c>
      <c r="H568" s="490">
        <v>1.9</v>
      </c>
      <c r="I568" s="492" t="s">
        <v>273</v>
      </c>
      <c r="J568" s="492" t="s">
        <v>273</v>
      </c>
      <c r="K568" s="490">
        <v>1</v>
      </c>
      <c r="L568" s="490">
        <v>4</v>
      </c>
      <c r="M568" s="490">
        <v>1</v>
      </c>
      <c r="N568" s="522"/>
    </row>
    <row r="569" spans="1:14" s="523" customFormat="1" ht="15">
      <c r="A569" s="522"/>
      <c r="B569" s="508" t="s">
        <v>2020</v>
      </c>
      <c r="C569" s="490">
        <v>-21.11</v>
      </c>
      <c r="D569" s="490">
        <v>145.13999999999999</v>
      </c>
      <c r="E569" s="492" t="s">
        <v>273</v>
      </c>
      <c r="F569" s="492" t="s">
        <v>273</v>
      </c>
      <c r="G569" s="492" t="s">
        <v>273</v>
      </c>
      <c r="H569" s="490">
        <v>1.9</v>
      </c>
      <c r="I569" s="492" t="s">
        <v>273</v>
      </c>
      <c r="J569" s="492" t="s">
        <v>273</v>
      </c>
      <c r="K569" s="490">
        <v>1</v>
      </c>
      <c r="L569" s="490">
        <v>4</v>
      </c>
      <c r="M569" s="490">
        <v>1</v>
      </c>
      <c r="N569" s="522"/>
    </row>
    <row r="570" spans="1:14" s="523" customFormat="1" ht="15">
      <c r="A570" s="522"/>
      <c r="B570" s="508" t="s">
        <v>2020</v>
      </c>
      <c r="C570" s="490">
        <v>-21.11</v>
      </c>
      <c r="D570" s="490">
        <v>145.13999999999999</v>
      </c>
      <c r="E570" s="492" t="s">
        <v>273</v>
      </c>
      <c r="F570" s="492" t="s">
        <v>273</v>
      </c>
      <c r="G570" s="492" t="s">
        <v>273</v>
      </c>
      <c r="H570" s="490">
        <v>1.7</v>
      </c>
      <c r="I570" s="492" t="s">
        <v>273</v>
      </c>
      <c r="J570" s="492" t="s">
        <v>273</v>
      </c>
      <c r="K570" s="490">
        <v>1</v>
      </c>
      <c r="L570" s="490">
        <v>4</v>
      </c>
      <c r="M570" s="490">
        <v>1</v>
      </c>
      <c r="N570" s="522"/>
    </row>
    <row r="571" spans="1:14" s="523" customFormat="1" ht="15">
      <c r="A571" s="522"/>
      <c r="B571" s="508" t="s">
        <v>2020</v>
      </c>
      <c r="C571" s="490">
        <v>-21.11</v>
      </c>
      <c r="D571" s="490">
        <v>145.13999999999999</v>
      </c>
      <c r="E571" s="492" t="s">
        <v>273</v>
      </c>
      <c r="F571" s="492" t="s">
        <v>273</v>
      </c>
      <c r="G571" s="492" t="s">
        <v>273</v>
      </c>
      <c r="H571" s="490">
        <v>1.5</v>
      </c>
      <c r="I571" s="492" t="s">
        <v>273</v>
      </c>
      <c r="J571" s="492" t="s">
        <v>273</v>
      </c>
      <c r="K571" s="490">
        <v>1</v>
      </c>
      <c r="L571" s="490">
        <v>4</v>
      </c>
      <c r="M571" s="490">
        <v>1</v>
      </c>
      <c r="N571" s="522"/>
    </row>
    <row r="572" spans="1:14" s="523" customFormat="1" ht="15">
      <c r="A572" s="522"/>
      <c r="B572" s="508" t="s">
        <v>2020</v>
      </c>
      <c r="C572" s="490">
        <v>-21.11</v>
      </c>
      <c r="D572" s="490">
        <v>145.13999999999999</v>
      </c>
      <c r="E572" s="492" t="s">
        <v>273</v>
      </c>
      <c r="F572" s="492" t="s">
        <v>273</v>
      </c>
      <c r="G572" s="492" t="s">
        <v>273</v>
      </c>
      <c r="H572" s="490">
        <v>1.5</v>
      </c>
      <c r="I572" s="492" t="s">
        <v>273</v>
      </c>
      <c r="J572" s="492" t="s">
        <v>273</v>
      </c>
      <c r="K572" s="490">
        <v>1</v>
      </c>
      <c r="L572" s="490">
        <v>4</v>
      </c>
      <c r="M572" s="490">
        <v>1</v>
      </c>
      <c r="N572" s="522"/>
    </row>
    <row r="573" spans="1:14" s="523" customFormat="1" ht="15">
      <c r="A573" s="522"/>
      <c r="B573" s="508" t="s">
        <v>2020</v>
      </c>
      <c r="C573" s="490">
        <v>-21.11</v>
      </c>
      <c r="D573" s="490">
        <v>145.13999999999999</v>
      </c>
      <c r="E573" s="492" t="s">
        <v>273</v>
      </c>
      <c r="F573" s="492" t="s">
        <v>273</v>
      </c>
      <c r="G573" s="492" t="s">
        <v>273</v>
      </c>
      <c r="H573" s="490">
        <v>1.4</v>
      </c>
      <c r="I573" s="492" t="s">
        <v>273</v>
      </c>
      <c r="J573" s="492" t="s">
        <v>273</v>
      </c>
      <c r="K573" s="490">
        <v>1</v>
      </c>
      <c r="L573" s="490">
        <v>4</v>
      </c>
      <c r="M573" s="490">
        <v>1</v>
      </c>
      <c r="N573" s="522"/>
    </row>
    <row r="574" spans="1:14" s="523" customFormat="1" ht="15">
      <c r="A574" s="522"/>
      <c r="B574" s="508" t="s">
        <v>2020</v>
      </c>
      <c r="C574" s="490">
        <v>-21.11</v>
      </c>
      <c r="D574" s="490">
        <v>145.13999999999999</v>
      </c>
      <c r="E574" s="492" t="s">
        <v>273</v>
      </c>
      <c r="F574" s="492" t="s">
        <v>273</v>
      </c>
      <c r="G574" s="492" t="s">
        <v>273</v>
      </c>
      <c r="H574" s="490">
        <v>1.4</v>
      </c>
      <c r="I574" s="492" t="s">
        <v>273</v>
      </c>
      <c r="J574" s="492" t="s">
        <v>273</v>
      </c>
      <c r="K574" s="490">
        <v>1</v>
      </c>
      <c r="L574" s="490">
        <v>4</v>
      </c>
      <c r="M574" s="490">
        <v>1</v>
      </c>
      <c r="N574" s="522"/>
    </row>
    <row r="575" spans="1:14" s="523" customFormat="1" ht="15">
      <c r="A575" s="522"/>
      <c r="B575" s="508" t="s">
        <v>2020</v>
      </c>
      <c r="C575" s="490">
        <v>-21.11</v>
      </c>
      <c r="D575" s="490">
        <v>145.13999999999999</v>
      </c>
      <c r="E575" s="492" t="s">
        <v>273</v>
      </c>
      <c r="F575" s="492" t="s">
        <v>273</v>
      </c>
      <c r="G575" s="492" t="s">
        <v>273</v>
      </c>
      <c r="H575" s="490">
        <v>1.4</v>
      </c>
      <c r="I575" s="492" t="s">
        <v>273</v>
      </c>
      <c r="J575" s="492" t="s">
        <v>273</v>
      </c>
      <c r="K575" s="490">
        <v>1</v>
      </c>
      <c r="L575" s="490">
        <v>4</v>
      </c>
      <c r="M575" s="490">
        <v>1</v>
      </c>
      <c r="N575" s="522"/>
    </row>
    <row r="576" spans="1:14" s="523" customFormat="1" ht="15">
      <c r="A576" s="522"/>
      <c r="B576" s="508" t="s">
        <v>2020</v>
      </c>
      <c r="C576" s="490">
        <v>-21.11</v>
      </c>
      <c r="D576" s="490">
        <v>145.13999999999999</v>
      </c>
      <c r="E576" s="492" t="s">
        <v>273</v>
      </c>
      <c r="F576" s="492" t="s">
        <v>273</v>
      </c>
      <c r="G576" s="492" t="s">
        <v>273</v>
      </c>
      <c r="H576" s="490">
        <v>1.3</v>
      </c>
      <c r="I576" s="492" t="s">
        <v>273</v>
      </c>
      <c r="J576" s="492" t="s">
        <v>273</v>
      </c>
      <c r="K576" s="490">
        <v>1</v>
      </c>
      <c r="L576" s="490">
        <v>4</v>
      </c>
      <c r="M576" s="490">
        <v>1</v>
      </c>
      <c r="N576" s="522"/>
    </row>
    <row r="577" spans="1:14" s="523" customFormat="1" ht="15">
      <c r="A577" s="522"/>
      <c r="B577" s="508" t="s">
        <v>2020</v>
      </c>
      <c r="C577" s="490">
        <v>-21.11</v>
      </c>
      <c r="D577" s="490">
        <v>145.13999999999999</v>
      </c>
      <c r="E577" s="492" t="s">
        <v>273</v>
      </c>
      <c r="F577" s="492" t="s">
        <v>273</v>
      </c>
      <c r="G577" s="492" t="s">
        <v>273</v>
      </c>
      <c r="H577" s="490">
        <v>1.3</v>
      </c>
      <c r="I577" s="492" t="s">
        <v>273</v>
      </c>
      <c r="J577" s="492" t="s">
        <v>273</v>
      </c>
      <c r="K577" s="490">
        <v>1</v>
      </c>
      <c r="L577" s="490">
        <v>4</v>
      </c>
      <c r="M577" s="490">
        <v>1</v>
      </c>
      <c r="N577" s="522"/>
    </row>
    <row r="578" spans="1:14" s="523" customFormat="1" ht="15">
      <c r="A578" s="522"/>
      <c r="B578" s="508" t="s">
        <v>2020</v>
      </c>
      <c r="C578" s="490">
        <v>-21.11</v>
      </c>
      <c r="D578" s="490">
        <v>145.13999999999999</v>
      </c>
      <c r="E578" s="492" t="s">
        <v>273</v>
      </c>
      <c r="F578" s="492" t="s">
        <v>273</v>
      </c>
      <c r="G578" s="492" t="s">
        <v>273</v>
      </c>
      <c r="H578" s="490">
        <v>1.3</v>
      </c>
      <c r="I578" s="492" t="s">
        <v>273</v>
      </c>
      <c r="J578" s="492" t="s">
        <v>273</v>
      </c>
      <c r="K578" s="490">
        <v>1</v>
      </c>
      <c r="L578" s="490">
        <v>4</v>
      </c>
      <c r="M578" s="490">
        <v>1</v>
      </c>
      <c r="N578" s="522"/>
    </row>
    <row r="579" spans="1:14" s="523" customFormat="1" ht="15">
      <c r="A579" s="522"/>
      <c r="B579" s="508" t="s">
        <v>2020</v>
      </c>
      <c r="C579" s="490">
        <v>-21.11</v>
      </c>
      <c r="D579" s="490">
        <v>145.13999999999999</v>
      </c>
      <c r="E579" s="492" t="s">
        <v>273</v>
      </c>
      <c r="F579" s="492" t="s">
        <v>273</v>
      </c>
      <c r="G579" s="492" t="s">
        <v>273</v>
      </c>
      <c r="H579" s="490">
        <v>1.2</v>
      </c>
      <c r="I579" s="492" t="s">
        <v>273</v>
      </c>
      <c r="J579" s="492" t="s">
        <v>273</v>
      </c>
      <c r="K579" s="490">
        <v>1</v>
      </c>
      <c r="L579" s="490">
        <v>4</v>
      </c>
      <c r="M579" s="490">
        <v>1</v>
      </c>
      <c r="N579" s="522"/>
    </row>
    <row r="580" spans="1:14" s="523" customFormat="1" ht="15">
      <c r="A580" s="522"/>
      <c r="B580" s="508" t="s">
        <v>2020</v>
      </c>
      <c r="C580" s="490">
        <v>-21.11</v>
      </c>
      <c r="D580" s="490">
        <v>145.13999999999999</v>
      </c>
      <c r="E580" s="492" t="s">
        <v>273</v>
      </c>
      <c r="F580" s="492" t="s">
        <v>273</v>
      </c>
      <c r="G580" s="492" t="s">
        <v>273</v>
      </c>
      <c r="H580" s="490">
        <v>1.2</v>
      </c>
      <c r="I580" s="492" t="s">
        <v>273</v>
      </c>
      <c r="J580" s="492" t="s">
        <v>273</v>
      </c>
      <c r="K580" s="490">
        <v>1</v>
      </c>
      <c r="L580" s="490">
        <v>4</v>
      </c>
      <c r="M580" s="490">
        <v>1</v>
      </c>
      <c r="N580" s="522"/>
    </row>
    <row r="581" spans="1:14" s="523" customFormat="1" ht="15">
      <c r="A581" s="522"/>
      <c r="B581" s="508" t="s">
        <v>2020</v>
      </c>
      <c r="C581" s="490">
        <v>-21.11</v>
      </c>
      <c r="D581" s="490">
        <v>145.13999999999999</v>
      </c>
      <c r="E581" s="492" t="s">
        <v>273</v>
      </c>
      <c r="F581" s="492" t="s">
        <v>273</v>
      </c>
      <c r="G581" s="492" t="s">
        <v>273</v>
      </c>
      <c r="H581" s="490">
        <v>1.2</v>
      </c>
      <c r="I581" s="492" t="s">
        <v>273</v>
      </c>
      <c r="J581" s="492" t="s">
        <v>273</v>
      </c>
      <c r="K581" s="490">
        <v>1</v>
      </c>
      <c r="L581" s="490">
        <v>4</v>
      </c>
      <c r="M581" s="490">
        <v>1</v>
      </c>
      <c r="N581" s="522"/>
    </row>
    <row r="582" spans="1:14" s="523" customFormat="1" ht="15">
      <c r="A582" s="522"/>
      <c r="B582" s="508" t="s">
        <v>2020</v>
      </c>
      <c r="C582" s="490">
        <v>-21.11</v>
      </c>
      <c r="D582" s="490">
        <v>145.13999999999999</v>
      </c>
      <c r="E582" s="492" t="s">
        <v>273</v>
      </c>
      <c r="F582" s="492" t="s">
        <v>273</v>
      </c>
      <c r="G582" s="492" t="s">
        <v>273</v>
      </c>
      <c r="H582" s="490">
        <v>1.2</v>
      </c>
      <c r="I582" s="492" t="s">
        <v>273</v>
      </c>
      <c r="J582" s="492" t="s">
        <v>273</v>
      </c>
      <c r="K582" s="490">
        <v>1</v>
      </c>
      <c r="L582" s="490">
        <v>4</v>
      </c>
      <c r="M582" s="490">
        <v>1</v>
      </c>
      <c r="N582" s="522"/>
    </row>
    <row r="583" spans="1:14" s="523" customFormat="1" ht="15">
      <c r="A583" s="522"/>
      <c r="B583" s="508" t="s">
        <v>2020</v>
      </c>
      <c r="C583" s="490">
        <v>-21.11</v>
      </c>
      <c r="D583" s="490">
        <v>145.13999999999999</v>
      </c>
      <c r="E583" s="492" t="s">
        <v>273</v>
      </c>
      <c r="F583" s="492" t="s">
        <v>273</v>
      </c>
      <c r="G583" s="492" t="s">
        <v>273</v>
      </c>
      <c r="H583" s="490">
        <v>1.2</v>
      </c>
      <c r="I583" s="492" t="s">
        <v>273</v>
      </c>
      <c r="J583" s="492" t="s">
        <v>273</v>
      </c>
      <c r="K583" s="490">
        <v>1</v>
      </c>
      <c r="L583" s="490">
        <v>4</v>
      </c>
      <c r="M583" s="490">
        <v>1</v>
      </c>
      <c r="N583" s="522"/>
    </row>
    <row r="584" spans="1:14" s="523" customFormat="1" ht="15">
      <c r="A584" s="522"/>
      <c r="B584" s="508" t="s">
        <v>2020</v>
      </c>
      <c r="C584" s="490">
        <v>-21.11</v>
      </c>
      <c r="D584" s="490">
        <v>145.13999999999999</v>
      </c>
      <c r="E584" s="492" t="s">
        <v>273</v>
      </c>
      <c r="F584" s="492" t="s">
        <v>273</v>
      </c>
      <c r="G584" s="492" t="s">
        <v>273</v>
      </c>
      <c r="H584" s="490">
        <v>1.2</v>
      </c>
      <c r="I584" s="492" t="s">
        <v>273</v>
      </c>
      <c r="J584" s="492" t="s">
        <v>273</v>
      </c>
      <c r="K584" s="490">
        <v>1</v>
      </c>
      <c r="L584" s="490">
        <v>4</v>
      </c>
      <c r="M584" s="490">
        <v>1</v>
      </c>
      <c r="N584" s="522"/>
    </row>
    <row r="585" spans="1:14" s="523" customFormat="1" ht="15">
      <c r="A585" s="522"/>
      <c r="B585" s="508" t="s">
        <v>2020</v>
      </c>
      <c r="C585" s="490">
        <v>-21.11</v>
      </c>
      <c r="D585" s="490">
        <v>145.13999999999999</v>
      </c>
      <c r="E585" s="492" t="s">
        <v>273</v>
      </c>
      <c r="F585" s="492" t="s">
        <v>273</v>
      </c>
      <c r="G585" s="492" t="s">
        <v>273</v>
      </c>
      <c r="H585" s="490">
        <v>1.1000000000000001</v>
      </c>
      <c r="I585" s="492" t="s">
        <v>273</v>
      </c>
      <c r="J585" s="492" t="s">
        <v>273</v>
      </c>
      <c r="K585" s="490">
        <v>1</v>
      </c>
      <c r="L585" s="490">
        <v>4</v>
      </c>
      <c r="M585" s="490">
        <v>1</v>
      </c>
      <c r="N585" s="522"/>
    </row>
    <row r="586" spans="1:14" s="523" customFormat="1" ht="15">
      <c r="A586" s="522"/>
      <c r="B586" s="508" t="s">
        <v>2020</v>
      </c>
      <c r="C586" s="490">
        <v>-21.11</v>
      </c>
      <c r="D586" s="490">
        <v>145.13999999999999</v>
      </c>
      <c r="E586" s="492" t="s">
        <v>273</v>
      </c>
      <c r="F586" s="492" t="s">
        <v>273</v>
      </c>
      <c r="G586" s="492" t="s">
        <v>273</v>
      </c>
      <c r="H586" s="490">
        <v>1.1000000000000001</v>
      </c>
      <c r="I586" s="492" t="s">
        <v>273</v>
      </c>
      <c r="J586" s="492" t="s">
        <v>273</v>
      </c>
      <c r="K586" s="490">
        <v>1</v>
      </c>
      <c r="L586" s="490">
        <v>4</v>
      </c>
      <c r="M586" s="490">
        <v>1</v>
      </c>
      <c r="N586" s="522"/>
    </row>
    <row r="587" spans="1:14" s="523" customFormat="1" ht="15">
      <c r="A587" s="522"/>
      <c r="B587" s="508" t="s">
        <v>2020</v>
      </c>
      <c r="C587" s="490">
        <v>-21.11</v>
      </c>
      <c r="D587" s="490">
        <v>145.13999999999999</v>
      </c>
      <c r="E587" s="492" t="s">
        <v>273</v>
      </c>
      <c r="F587" s="492" t="s">
        <v>273</v>
      </c>
      <c r="G587" s="492" t="s">
        <v>273</v>
      </c>
      <c r="H587" s="490">
        <v>1</v>
      </c>
      <c r="I587" s="492" t="s">
        <v>273</v>
      </c>
      <c r="J587" s="492" t="s">
        <v>273</v>
      </c>
      <c r="K587" s="490">
        <v>1</v>
      </c>
      <c r="L587" s="490">
        <v>4</v>
      </c>
      <c r="M587" s="490">
        <v>1</v>
      </c>
      <c r="N587" s="522"/>
    </row>
    <row r="588" spans="1:14" s="523" customFormat="1" ht="15">
      <c r="A588" s="522"/>
      <c r="B588" s="508" t="s">
        <v>2020</v>
      </c>
      <c r="C588" s="490">
        <v>-21.11</v>
      </c>
      <c r="D588" s="490">
        <v>145.13999999999999</v>
      </c>
      <c r="E588" s="492" t="s">
        <v>273</v>
      </c>
      <c r="F588" s="492" t="s">
        <v>273</v>
      </c>
      <c r="G588" s="492" t="s">
        <v>273</v>
      </c>
      <c r="H588" s="490">
        <v>1</v>
      </c>
      <c r="I588" s="492" t="s">
        <v>273</v>
      </c>
      <c r="J588" s="492" t="s">
        <v>273</v>
      </c>
      <c r="K588" s="490">
        <v>1</v>
      </c>
      <c r="L588" s="490">
        <v>4</v>
      </c>
      <c r="M588" s="490">
        <v>1</v>
      </c>
      <c r="N588" s="522"/>
    </row>
    <row r="589" spans="1:14" s="523" customFormat="1" ht="15">
      <c r="A589" s="522"/>
      <c r="B589" s="508" t="s">
        <v>2020</v>
      </c>
      <c r="C589" s="490">
        <v>-21.11</v>
      </c>
      <c r="D589" s="490">
        <v>145.13999999999999</v>
      </c>
      <c r="E589" s="492" t="s">
        <v>273</v>
      </c>
      <c r="F589" s="492" t="s">
        <v>273</v>
      </c>
      <c r="G589" s="492" t="s">
        <v>273</v>
      </c>
      <c r="H589" s="490">
        <v>0.9</v>
      </c>
      <c r="I589" s="492" t="s">
        <v>273</v>
      </c>
      <c r="J589" s="492" t="s">
        <v>273</v>
      </c>
      <c r="K589" s="490">
        <v>1</v>
      </c>
      <c r="L589" s="490">
        <v>4</v>
      </c>
      <c r="M589" s="490">
        <v>1</v>
      </c>
      <c r="N589" s="522"/>
    </row>
    <row r="590" spans="1:14" s="523" customFormat="1" ht="15">
      <c r="A590" s="522"/>
      <c r="B590" s="508" t="s">
        <v>2020</v>
      </c>
      <c r="C590" s="490">
        <v>-21.11</v>
      </c>
      <c r="D590" s="490">
        <v>145.13999999999999</v>
      </c>
      <c r="E590" s="492" t="s">
        <v>273</v>
      </c>
      <c r="F590" s="492" t="s">
        <v>273</v>
      </c>
      <c r="G590" s="492" t="s">
        <v>273</v>
      </c>
      <c r="H590" s="490">
        <v>0.9</v>
      </c>
      <c r="I590" s="492" t="s">
        <v>273</v>
      </c>
      <c r="J590" s="492" t="s">
        <v>273</v>
      </c>
      <c r="K590" s="490">
        <v>1</v>
      </c>
      <c r="L590" s="490">
        <v>4</v>
      </c>
      <c r="M590" s="490">
        <v>1</v>
      </c>
      <c r="N590" s="522"/>
    </row>
    <row r="591" spans="1:14" s="523" customFormat="1" ht="15">
      <c r="A591" s="522"/>
      <c r="B591" s="508" t="s">
        <v>2020</v>
      </c>
      <c r="C591" s="490">
        <v>-21.11</v>
      </c>
      <c r="D591" s="490">
        <v>145.13999999999999</v>
      </c>
      <c r="E591" s="492" t="s">
        <v>273</v>
      </c>
      <c r="F591" s="492" t="s">
        <v>273</v>
      </c>
      <c r="G591" s="492" t="s">
        <v>273</v>
      </c>
      <c r="H591" s="490">
        <v>0.9</v>
      </c>
      <c r="I591" s="492" t="s">
        <v>273</v>
      </c>
      <c r="J591" s="492" t="s">
        <v>273</v>
      </c>
      <c r="K591" s="490">
        <v>1</v>
      </c>
      <c r="L591" s="490">
        <v>4</v>
      </c>
      <c r="M591" s="490">
        <v>1</v>
      </c>
      <c r="N591" s="522"/>
    </row>
    <row r="592" spans="1:14" s="523" customFormat="1" ht="15">
      <c r="A592" s="522"/>
      <c r="B592" s="508" t="s">
        <v>2020</v>
      </c>
      <c r="C592" s="490">
        <v>-21.11</v>
      </c>
      <c r="D592" s="490">
        <v>145.13999999999999</v>
      </c>
      <c r="E592" s="492" t="s">
        <v>273</v>
      </c>
      <c r="F592" s="492" t="s">
        <v>273</v>
      </c>
      <c r="G592" s="492" t="s">
        <v>273</v>
      </c>
      <c r="H592" s="490">
        <v>0.9</v>
      </c>
      <c r="I592" s="492" t="s">
        <v>273</v>
      </c>
      <c r="J592" s="492" t="s">
        <v>273</v>
      </c>
      <c r="K592" s="490">
        <v>1</v>
      </c>
      <c r="L592" s="490">
        <v>4</v>
      </c>
      <c r="M592" s="490">
        <v>1</v>
      </c>
      <c r="N592" s="522"/>
    </row>
    <row r="593" spans="1:14" s="523" customFormat="1" ht="15">
      <c r="A593" s="522"/>
      <c r="B593" s="508" t="s">
        <v>2020</v>
      </c>
      <c r="C593" s="490">
        <v>-21.11</v>
      </c>
      <c r="D593" s="490">
        <v>145.13999999999999</v>
      </c>
      <c r="E593" s="492" t="s">
        <v>273</v>
      </c>
      <c r="F593" s="492" t="s">
        <v>273</v>
      </c>
      <c r="G593" s="492" t="s">
        <v>273</v>
      </c>
      <c r="H593" s="490">
        <v>0.9</v>
      </c>
      <c r="I593" s="492" t="s">
        <v>273</v>
      </c>
      <c r="J593" s="492" t="s">
        <v>273</v>
      </c>
      <c r="K593" s="490">
        <v>1</v>
      </c>
      <c r="L593" s="490">
        <v>4</v>
      </c>
      <c r="M593" s="490">
        <v>1</v>
      </c>
      <c r="N593" s="522"/>
    </row>
    <row r="594" spans="1:14" s="523" customFormat="1" ht="15">
      <c r="A594" s="522"/>
      <c r="B594" s="508" t="s">
        <v>2020</v>
      </c>
      <c r="C594" s="490">
        <v>-21.11</v>
      </c>
      <c r="D594" s="490">
        <v>145.13999999999999</v>
      </c>
      <c r="E594" s="492" t="s">
        <v>273</v>
      </c>
      <c r="F594" s="492" t="s">
        <v>273</v>
      </c>
      <c r="G594" s="492" t="s">
        <v>273</v>
      </c>
      <c r="H594" s="490">
        <v>0.8</v>
      </c>
      <c r="I594" s="492" t="s">
        <v>273</v>
      </c>
      <c r="J594" s="492" t="s">
        <v>273</v>
      </c>
      <c r="K594" s="490">
        <v>1</v>
      </c>
      <c r="L594" s="490">
        <v>4</v>
      </c>
      <c r="M594" s="490">
        <v>1</v>
      </c>
      <c r="N594" s="522"/>
    </row>
    <row r="595" spans="1:14" s="523" customFormat="1" ht="15">
      <c r="A595" s="522"/>
      <c r="B595" s="508" t="s">
        <v>2020</v>
      </c>
      <c r="C595" s="490">
        <v>-21.11</v>
      </c>
      <c r="D595" s="490">
        <v>145.13999999999999</v>
      </c>
      <c r="E595" s="492" t="s">
        <v>273</v>
      </c>
      <c r="F595" s="492" t="s">
        <v>273</v>
      </c>
      <c r="G595" s="492" t="s">
        <v>273</v>
      </c>
      <c r="H595" s="490">
        <v>0.8</v>
      </c>
      <c r="I595" s="492" t="s">
        <v>273</v>
      </c>
      <c r="J595" s="492" t="s">
        <v>273</v>
      </c>
      <c r="K595" s="490">
        <v>1</v>
      </c>
      <c r="L595" s="490">
        <v>4</v>
      </c>
      <c r="M595" s="490">
        <v>1</v>
      </c>
      <c r="N595" s="522"/>
    </row>
    <row r="596" spans="1:14" s="523" customFormat="1" ht="15">
      <c r="A596" s="522"/>
      <c r="B596" s="508" t="s">
        <v>2020</v>
      </c>
      <c r="C596" s="490">
        <v>-21.11</v>
      </c>
      <c r="D596" s="490">
        <v>145.13999999999999</v>
      </c>
      <c r="E596" s="492" t="s">
        <v>273</v>
      </c>
      <c r="F596" s="492" t="s">
        <v>273</v>
      </c>
      <c r="G596" s="492" t="s">
        <v>273</v>
      </c>
      <c r="H596" s="490">
        <v>0.8</v>
      </c>
      <c r="I596" s="492" t="s">
        <v>273</v>
      </c>
      <c r="J596" s="492" t="s">
        <v>273</v>
      </c>
      <c r="K596" s="490">
        <v>1</v>
      </c>
      <c r="L596" s="490">
        <v>4</v>
      </c>
      <c r="M596" s="490">
        <v>1</v>
      </c>
      <c r="N596" s="522"/>
    </row>
    <row r="597" spans="1:14" s="523" customFormat="1" ht="15">
      <c r="A597" s="522"/>
      <c r="B597" s="508" t="s">
        <v>2020</v>
      </c>
      <c r="C597" s="490">
        <v>-21.11</v>
      </c>
      <c r="D597" s="490">
        <v>145.13999999999999</v>
      </c>
      <c r="E597" s="492" t="s">
        <v>273</v>
      </c>
      <c r="F597" s="492" t="s">
        <v>273</v>
      </c>
      <c r="G597" s="492" t="s">
        <v>273</v>
      </c>
      <c r="H597" s="490">
        <v>0.8</v>
      </c>
      <c r="I597" s="492" t="s">
        <v>273</v>
      </c>
      <c r="J597" s="492" t="s">
        <v>273</v>
      </c>
      <c r="K597" s="490">
        <v>1</v>
      </c>
      <c r="L597" s="490">
        <v>4</v>
      </c>
      <c r="M597" s="490">
        <v>1</v>
      </c>
      <c r="N597" s="522"/>
    </row>
    <row r="598" spans="1:14" s="523" customFormat="1" ht="15">
      <c r="A598" s="522"/>
      <c r="B598" s="508" t="s">
        <v>2020</v>
      </c>
      <c r="C598" s="490">
        <v>-21.11</v>
      </c>
      <c r="D598" s="490">
        <v>145.13999999999999</v>
      </c>
      <c r="E598" s="492" t="s">
        <v>273</v>
      </c>
      <c r="F598" s="492" t="s">
        <v>273</v>
      </c>
      <c r="G598" s="492" t="s">
        <v>273</v>
      </c>
      <c r="H598" s="490">
        <v>0.8</v>
      </c>
      <c r="I598" s="492" t="s">
        <v>273</v>
      </c>
      <c r="J598" s="492" t="s">
        <v>273</v>
      </c>
      <c r="K598" s="490">
        <v>1</v>
      </c>
      <c r="L598" s="490">
        <v>4</v>
      </c>
      <c r="M598" s="490">
        <v>1</v>
      </c>
      <c r="N598" s="522"/>
    </row>
    <row r="599" spans="1:14" s="523" customFormat="1" ht="15">
      <c r="A599" s="522"/>
      <c r="B599" s="508" t="s">
        <v>2020</v>
      </c>
      <c r="C599" s="490">
        <v>-21.11</v>
      </c>
      <c r="D599" s="490">
        <v>145.13999999999999</v>
      </c>
      <c r="E599" s="492" t="s">
        <v>273</v>
      </c>
      <c r="F599" s="492" t="s">
        <v>273</v>
      </c>
      <c r="G599" s="492" t="s">
        <v>273</v>
      </c>
      <c r="H599" s="490">
        <v>0.8</v>
      </c>
      <c r="I599" s="492" t="s">
        <v>273</v>
      </c>
      <c r="J599" s="492" t="s">
        <v>273</v>
      </c>
      <c r="K599" s="490">
        <v>1</v>
      </c>
      <c r="L599" s="490">
        <v>4</v>
      </c>
      <c r="M599" s="490">
        <v>1</v>
      </c>
      <c r="N599" s="522"/>
    </row>
    <row r="600" spans="1:14" s="523" customFormat="1" ht="15">
      <c r="A600" s="522"/>
      <c r="B600" s="508" t="s">
        <v>2020</v>
      </c>
      <c r="C600" s="490">
        <v>-21.11</v>
      </c>
      <c r="D600" s="490">
        <v>145.13999999999999</v>
      </c>
      <c r="E600" s="492" t="s">
        <v>273</v>
      </c>
      <c r="F600" s="492" t="s">
        <v>273</v>
      </c>
      <c r="G600" s="492" t="s">
        <v>273</v>
      </c>
      <c r="H600" s="490">
        <v>0.8</v>
      </c>
      <c r="I600" s="492" t="s">
        <v>273</v>
      </c>
      <c r="J600" s="492" t="s">
        <v>273</v>
      </c>
      <c r="K600" s="490">
        <v>1</v>
      </c>
      <c r="L600" s="490">
        <v>4</v>
      </c>
      <c r="M600" s="490">
        <v>1</v>
      </c>
      <c r="N600" s="522"/>
    </row>
    <row r="601" spans="1:14" s="523" customFormat="1" ht="15">
      <c r="A601" s="522"/>
      <c r="B601" s="508" t="s">
        <v>2020</v>
      </c>
      <c r="C601" s="490">
        <v>-21.11</v>
      </c>
      <c r="D601" s="490">
        <v>145.13999999999999</v>
      </c>
      <c r="E601" s="492" t="s">
        <v>273</v>
      </c>
      <c r="F601" s="492" t="s">
        <v>273</v>
      </c>
      <c r="G601" s="492" t="s">
        <v>273</v>
      </c>
      <c r="H601" s="490">
        <v>0.7</v>
      </c>
      <c r="I601" s="492" t="s">
        <v>273</v>
      </c>
      <c r="J601" s="492" t="s">
        <v>273</v>
      </c>
      <c r="K601" s="490">
        <v>1</v>
      </c>
      <c r="L601" s="490">
        <v>4</v>
      </c>
      <c r="M601" s="490">
        <v>1</v>
      </c>
      <c r="N601" s="522"/>
    </row>
    <row r="602" spans="1:14" s="523" customFormat="1" ht="15">
      <c r="A602" s="522"/>
      <c r="B602" s="508" t="s">
        <v>2020</v>
      </c>
      <c r="C602" s="490">
        <v>-21.11</v>
      </c>
      <c r="D602" s="490">
        <v>145.13999999999999</v>
      </c>
      <c r="E602" s="492" t="s">
        <v>273</v>
      </c>
      <c r="F602" s="492" t="s">
        <v>273</v>
      </c>
      <c r="G602" s="492" t="s">
        <v>273</v>
      </c>
      <c r="H602" s="490">
        <v>0.7</v>
      </c>
      <c r="I602" s="492" t="s">
        <v>273</v>
      </c>
      <c r="J602" s="492" t="s">
        <v>273</v>
      </c>
      <c r="K602" s="490">
        <v>1</v>
      </c>
      <c r="L602" s="490">
        <v>4</v>
      </c>
      <c r="M602" s="490">
        <v>1</v>
      </c>
      <c r="N602" s="522"/>
    </row>
    <row r="603" spans="1:14" s="523" customFormat="1" ht="15">
      <c r="A603" s="522"/>
      <c r="B603" s="508" t="s">
        <v>2020</v>
      </c>
      <c r="C603" s="490">
        <v>-21.11</v>
      </c>
      <c r="D603" s="490">
        <v>145.13999999999999</v>
      </c>
      <c r="E603" s="492" t="s">
        <v>273</v>
      </c>
      <c r="F603" s="492" t="s">
        <v>273</v>
      </c>
      <c r="G603" s="492" t="s">
        <v>273</v>
      </c>
      <c r="H603" s="490">
        <v>0.7</v>
      </c>
      <c r="I603" s="492" t="s">
        <v>273</v>
      </c>
      <c r="J603" s="492" t="s">
        <v>273</v>
      </c>
      <c r="K603" s="490">
        <v>1</v>
      </c>
      <c r="L603" s="490">
        <v>4</v>
      </c>
      <c r="M603" s="490">
        <v>1</v>
      </c>
      <c r="N603" s="522"/>
    </row>
    <row r="604" spans="1:14" s="523" customFormat="1" ht="15">
      <c r="A604" s="522"/>
      <c r="B604" s="508" t="s">
        <v>2020</v>
      </c>
      <c r="C604" s="490">
        <v>-21.11</v>
      </c>
      <c r="D604" s="490">
        <v>145.13999999999999</v>
      </c>
      <c r="E604" s="492" t="s">
        <v>273</v>
      </c>
      <c r="F604" s="492" t="s">
        <v>273</v>
      </c>
      <c r="G604" s="492" t="s">
        <v>273</v>
      </c>
      <c r="H604" s="490">
        <v>0.7</v>
      </c>
      <c r="I604" s="492" t="s">
        <v>273</v>
      </c>
      <c r="J604" s="492" t="s">
        <v>273</v>
      </c>
      <c r="K604" s="490">
        <v>1</v>
      </c>
      <c r="L604" s="490">
        <v>4</v>
      </c>
      <c r="M604" s="490">
        <v>1</v>
      </c>
      <c r="N604" s="522"/>
    </row>
    <row r="605" spans="1:14" s="523" customFormat="1" ht="15">
      <c r="A605" s="522"/>
      <c r="B605" s="508" t="s">
        <v>2020</v>
      </c>
      <c r="C605" s="490">
        <v>-21.11</v>
      </c>
      <c r="D605" s="490">
        <v>145.13999999999999</v>
      </c>
      <c r="E605" s="492" t="s">
        <v>273</v>
      </c>
      <c r="F605" s="492" t="s">
        <v>273</v>
      </c>
      <c r="G605" s="492" t="s">
        <v>273</v>
      </c>
      <c r="H605" s="490">
        <v>0.7</v>
      </c>
      <c r="I605" s="492" t="s">
        <v>273</v>
      </c>
      <c r="J605" s="492" t="s">
        <v>273</v>
      </c>
      <c r="K605" s="490">
        <v>1</v>
      </c>
      <c r="L605" s="490">
        <v>4</v>
      </c>
      <c r="M605" s="490">
        <v>1</v>
      </c>
      <c r="N605" s="522"/>
    </row>
    <row r="606" spans="1:14" s="523" customFormat="1" ht="15">
      <c r="A606" s="522"/>
      <c r="B606" s="508" t="s">
        <v>2020</v>
      </c>
      <c r="C606" s="490">
        <v>-21.11</v>
      </c>
      <c r="D606" s="490">
        <v>145.13999999999999</v>
      </c>
      <c r="E606" s="492" t="s">
        <v>273</v>
      </c>
      <c r="F606" s="492" t="s">
        <v>273</v>
      </c>
      <c r="G606" s="492" t="s">
        <v>273</v>
      </c>
      <c r="H606" s="490">
        <v>0.7</v>
      </c>
      <c r="I606" s="492" t="s">
        <v>273</v>
      </c>
      <c r="J606" s="492" t="s">
        <v>273</v>
      </c>
      <c r="K606" s="490">
        <v>1</v>
      </c>
      <c r="L606" s="490">
        <v>4</v>
      </c>
      <c r="M606" s="490">
        <v>1</v>
      </c>
      <c r="N606" s="522"/>
    </row>
    <row r="607" spans="1:14" s="523" customFormat="1" ht="15">
      <c r="A607" s="522"/>
      <c r="B607" s="508" t="s">
        <v>2020</v>
      </c>
      <c r="C607" s="490">
        <v>-21.11</v>
      </c>
      <c r="D607" s="490">
        <v>145.13999999999999</v>
      </c>
      <c r="E607" s="492" t="s">
        <v>273</v>
      </c>
      <c r="F607" s="492" t="s">
        <v>273</v>
      </c>
      <c r="G607" s="492" t="s">
        <v>273</v>
      </c>
      <c r="H607" s="490">
        <v>0.7</v>
      </c>
      <c r="I607" s="492" t="s">
        <v>273</v>
      </c>
      <c r="J607" s="492" t="s">
        <v>273</v>
      </c>
      <c r="K607" s="490">
        <v>1</v>
      </c>
      <c r="L607" s="490">
        <v>4</v>
      </c>
      <c r="M607" s="490">
        <v>1</v>
      </c>
      <c r="N607" s="522"/>
    </row>
    <row r="608" spans="1:14" s="523" customFormat="1" ht="15">
      <c r="A608" s="522"/>
      <c r="B608" s="508" t="s">
        <v>2020</v>
      </c>
      <c r="C608" s="490">
        <v>-21.11</v>
      </c>
      <c r="D608" s="490">
        <v>145.13999999999999</v>
      </c>
      <c r="E608" s="492" t="s">
        <v>273</v>
      </c>
      <c r="F608" s="492" t="s">
        <v>273</v>
      </c>
      <c r="G608" s="492" t="s">
        <v>273</v>
      </c>
      <c r="H608" s="490">
        <v>0.7</v>
      </c>
      <c r="I608" s="492" t="s">
        <v>273</v>
      </c>
      <c r="J608" s="492" t="s">
        <v>273</v>
      </c>
      <c r="K608" s="490">
        <v>1</v>
      </c>
      <c r="L608" s="490">
        <v>4</v>
      </c>
      <c r="M608" s="490">
        <v>1</v>
      </c>
      <c r="N608" s="522"/>
    </row>
    <row r="609" spans="1:14" s="523" customFormat="1" ht="15">
      <c r="A609" s="522"/>
      <c r="B609" s="508" t="s">
        <v>2020</v>
      </c>
      <c r="C609" s="490">
        <v>-21.11</v>
      </c>
      <c r="D609" s="490">
        <v>145.13999999999999</v>
      </c>
      <c r="E609" s="492" t="s">
        <v>273</v>
      </c>
      <c r="F609" s="492" t="s">
        <v>273</v>
      </c>
      <c r="G609" s="492" t="s">
        <v>273</v>
      </c>
      <c r="H609" s="490">
        <v>0.7</v>
      </c>
      <c r="I609" s="492" t="s">
        <v>273</v>
      </c>
      <c r="J609" s="492" t="s">
        <v>273</v>
      </c>
      <c r="K609" s="490">
        <v>1</v>
      </c>
      <c r="L609" s="490">
        <v>4</v>
      </c>
      <c r="M609" s="490">
        <v>1</v>
      </c>
      <c r="N609" s="522"/>
    </row>
    <row r="610" spans="1:14" s="523" customFormat="1" ht="15">
      <c r="A610" s="522"/>
      <c r="B610" s="508" t="s">
        <v>2020</v>
      </c>
      <c r="C610" s="490">
        <v>-21.11</v>
      </c>
      <c r="D610" s="490">
        <v>145.13999999999999</v>
      </c>
      <c r="E610" s="492" t="s">
        <v>273</v>
      </c>
      <c r="F610" s="492" t="s">
        <v>273</v>
      </c>
      <c r="G610" s="492" t="s">
        <v>273</v>
      </c>
      <c r="H610" s="490">
        <v>0.7</v>
      </c>
      <c r="I610" s="492" t="s">
        <v>273</v>
      </c>
      <c r="J610" s="492" t="s">
        <v>273</v>
      </c>
      <c r="K610" s="490">
        <v>1</v>
      </c>
      <c r="L610" s="490">
        <v>4</v>
      </c>
      <c r="M610" s="490">
        <v>1</v>
      </c>
      <c r="N610" s="522"/>
    </row>
    <row r="611" spans="1:14" s="523" customFormat="1" ht="15">
      <c r="A611" s="522"/>
      <c r="B611" s="508" t="s">
        <v>2020</v>
      </c>
      <c r="C611" s="490">
        <v>-21.11</v>
      </c>
      <c r="D611" s="490">
        <v>145.13999999999999</v>
      </c>
      <c r="E611" s="492" t="s">
        <v>273</v>
      </c>
      <c r="F611" s="492" t="s">
        <v>273</v>
      </c>
      <c r="G611" s="492" t="s">
        <v>273</v>
      </c>
      <c r="H611" s="490">
        <v>0.6</v>
      </c>
      <c r="I611" s="492" t="s">
        <v>273</v>
      </c>
      <c r="J611" s="492" t="s">
        <v>273</v>
      </c>
      <c r="K611" s="490">
        <v>1</v>
      </c>
      <c r="L611" s="490">
        <v>4</v>
      </c>
      <c r="M611" s="490">
        <v>1</v>
      </c>
      <c r="N611" s="522"/>
    </row>
    <row r="612" spans="1:14" s="523" customFormat="1" ht="15">
      <c r="A612" s="522"/>
      <c r="B612" s="508" t="s">
        <v>2020</v>
      </c>
      <c r="C612" s="490">
        <v>-21.11</v>
      </c>
      <c r="D612" s="490">
        <v>145.13999999999999</v>
      </c>
      <c r="E612" s="492" t="s">
        <v>273</v>
      </c>
      <c r="F612" s="492" t="s">
        <v>273</v>
      </c>
      <c r="G612" s="492" t="s">
        <v>273</v>
      </c>
      <c r="H612" s="490">
        <v>0.6</v>
      </c>
      <c r="I612" s="492" t="s">
        <v>273</v>
      </c>
      <c r="J612" s="492" t="s">
        <v>273</v>
      </c>
      <c r="K612" s="490">
        <v>1</v>
      </c>
      <c r="L612" s="490">
        <v>4</v>
      </c>
      <c r="M612" s="490">
        <v>1</v>
      </c>
      <c r="N612" s="522"/>
    </row>
    <row r="613" spans="1:14" s="523" customFormat="1" ht="15">
      <c r="A613" s="522"/>
      <c r="B613" s="508" t="s">
        <v>2020</v>
      </c>
      <c r="C613" s="490">
        <v>-21.11</v>
      </c>
      <c r="D613" s="490">
        <v>145.13999999999999</v>
      </c>
      <c r="E613" s="492" t="s">
        <v>273</v>
      </c>
      <c r="F613" s="492" t="s">
        <v>273</v>
      </c>
      <c r="G613" s="492" t="s">
        <v>273</v>
      </c>
      <c r="H613" s="490">
        <v>0.6</v>
      </c>
      <c r="I613" s="492" t="s">
        <v>273</v>
      </c>
      <c r="J613" s="492" t="s">
        <v>273</v>
      </c>
      <c r="K613" s="490">
        <v>1</v>
      </c>
      <c r="L613" s="490">
        <v>4</v>
      </c>
      <c r="M613" s="490">
        <v>1</v>
      </c>
      <c r="N613" s="522"/>
    </row>
    <row r="614" spans="1:14" s="523" customFormat="1" ht="15">
      <c r="A614" s="522"/>
      <c r="B614" s="508" t="s">
        <v>2020</v>
      </c>
      <c r="C614" s="490">
        <v>-21.11</v>
      </c>
      <c r="D614" s="490">
        <v>145.13999999999999</v>
      </c>
      <c r="E614" s="492" t="s">
        <v>273</v>
      </c>
      <c r="F614" s="492" t="s">
        <v>273</v>
      </c>
      <c r="G614" s="492" t="s">
        <v>273</v>
      </c>
      <c r="H614" s="490">
        <v>0.6</v>
      </c>
      <c r="I614" s="492" t="s">
        <v>273</v>
      </c>
      <c r="J614" s="492" t="s">
        <v>273</v>
      </c>
      <c r="K614" s="490">
        <v>1</v>
      </c>
      <c r="L614" s="490">
        <v>4</v>
      </c>
      <c r="M614" s="490">
        <v>1</v>
      </c>
      <c r="N614" s="522"/>
    </row>
    <row r="615" spans="1:14" s="523" customFormat="1" ht="15">
      <c r="A615" s="522"/>
      <c r="B615" s="508" t="s">
        <v>2020</v>
      </c>
      <c r="C615" s="490">
        <v>-21.11</v>
      </c>
      <c r="D615" s="490">
        <v>145.13999999999999</v>
      </c>
      <c r="E615" s="492" t="s">
        <v>273</v>
      </c>
      <c r="F615" s="492" t="s">
        <v>273</v>
      </c>
      <c r="G615" s="492" t="s">
        <v>273</v>
      </c>
      <c r="H615" s="490">
        <v>0.6</v>
      </c>
      <c r="I615" s="492" t="s">
        <v>273</v>
      </c>
      <c r="J615" s="492" t="s">
        <v>273</v>
      </c>
      <c r="K615" s="490">
        <v>1</v>
      </c>
      <c r="L615" s="490">
        <v>4</v>
      </c>
      <c r="M615" s="490">
        <v>1</v>
      </c>
      <c r="N615" s="522"/>
    </row>
    <row r="616" spans="1:14" s="523" customFormat="1" ht="15">
      <c r="A616" s="522"/>
      <c r="B616" s="508" t="s">
        <v>2020</v>
      </c>
      <c r="C616" s="490">
        <v>-21.11</v>
      </c>
      <c r="D616" s="490">
        <v>145.13999999999999</v>
      </c>
      <c r="E616" s="492" t="s">
        <v>273</v>
      </c>
      <c r="F616" s="492" t="s">
        <v>273</v>
      </c>
      <c r="G616" s="492" t="s">
        <v>273</v>
      </c>
      <c r="H616" s="490">
        <v>0.5</v>
      </c>
      <c r="I616" s="492" t="s">
        <v>273</v>
      </c>
      <c r="J616" s="492" t="s">
        <v>273</v>
      </c>
      <c r="K616" s="490">
        <v>1</v>
      </c>
      <c r="L616" s="490">
        <v>4</v>
      </c>
      <c r="M616" s="490">
        <v>1</v>
      </c>
      <c r="N616" s="522"/>
    </row>
    <row r="617" spans="1:14" s="523" customFormat="1" ht="15">
      <c r="A617" s="522"/>
      <c r="B617" s="508" t="s">
        <v>2020</v>
      </c>
      <c r="C617" s="490">
        <v>-21.11</v>
      </c>
      <c r="D617" s="490">
        <v>145.13999999999999</v>
      </c>
      <c r="E617" s="492" t="s">
        <v>273</v>
      </c>
      <c r="F617" s="492" t="s">
        <v>273</v>
      </c>
      <c r="G617" s="492" t="s">
        <v>273</v>
      </c>
      <c r="H617" s="490">
        <v>0.5</v>
      </c>
      <c r="I617" s="492" t="s">
        <v>273</v>
      </c>
      <c r="J617" s="492" t="s">
        <v>273</v>
      </c>
      <c r="K617" s="490">
        <v>1</v>
      </c>
      <c r="L617" s="490">
        <v>4</v>
      </c>
      <c r="M617" s="490">
        <v>1</v>
      </c>
      <c r="N617" s="522"/>
    </row>
    <row r="618" spans="1:14" s="523" customFormat="1" ht="15">
      <c r="A618" s="522"/>
      <c r="B618" s="508" t="s">
        <v>2020</v>
      </c>
      <c r="C618" s="490">
        <v>-21.11</v>
      </c>
      <c r="D618" s="490">
        <v>145.13999999999999</v>
      </c>
      <c r="E618" s="492" t="s">
        <v>273</v>
      </c>
      <c r="F618" s="492" t="s">
        <v>273</v>
      </c>
      <c r="G618" s="492" t="s">
        <v>273</v>
      </c>
      <c r="H618" s="490">
        <v>0.5</v>
      </c>
      <c r="I618" s="492" t="s">
        <v>273</v>
      </c>
      <c r="J618" s="492" t="s">
        <v>273</v>
      </c>
      <c r="K618" s="490">
        <v>1</v>
      </c>
      <c r="L618" s="490">
        <v>4</v>
      </c>
      <c r="M618" s="490">
        <v>1</v>
      </c>
      <c r="N618" s="522"/>
    </row>
    <row r="619" spans="1:14" s="523" customFormat="1" ht="15">
      <c r="A619" s="522"/>
      <c r="B619" s="508" t="s">
        <v>2020</v>
      </c>
      <c r="C619" s="490">
        <v>-21.11</v>
      </c>
      <c r="D619" s="490">
        <v>145.13999999999999</v>
      </c>
      <c r="E619" s="492" t="s">
        <v>273</v>
      </c>
      <c r="F619" s="492" t="s">
        <v>273</v>
      </c>
      <c r="G619" s="492" t="s">
        <v>273</v>
      </c>
      <c r="H619" s="490">
        <v>0.5</v>
      </c>
      <c r="I619" s="492" t="s">
        <v>273</v>
      </c>
      <c r="J619" s="492" t="s">
        <v>273</v>
      </c>
      <c r="K619" s="490">
        <v>1</v>
      </c>
      <c r="L619" s="490">
        <v>4</v>
      </c>
      <c r="M619" s="490">
        <v>1</v>
      </c>
      <c r="N619" s="522"/>
    </row>
    <row r="620" spans="1:14" s="523" customFormat="1" ht="15">
      <c r="A620" s="522"/>
      <c r="B620" s="508" t="s">
        <v>2020</v>
      </c>
      <c r="C620" s="490">
        <v>-21.11</v>
      </c>
      <c r="D620" s="490">
        <v>145.13999999999999</v>
      </c>
      <c r="E620" s="492" t="s">
        <v>273</v>
      </c>
      <c r="F620" s="492" t="s">
        <v>273</v>
      </c>
      <c r="G620" s="492" t="s">
        <v>273</v>
      </c>
      <c r="H620" s="490">
        <v>0.4</v>
      </c>
      <c r="I620" s="492" t="s">
        <v>273</v>
      </c>
      <c r="J620" s="492" t="s">
        <v>273</v>
      </c>
      <c r="K620" s="490">
        <v>1</v>
      </c>
      <c r="L620" s="490">
        <v>4</v>
      </c>
      <c r="M620" s="490">
        <v>1</v>
      </c>
      <c r="N620" s="522"/>
    </row>
    <row r="621" spans="1:14" s="523" customFormat="1" ht="15">
      <c r="A621" s="522"/>
      <c r="B621" s="508" t="s">
        <v>2020</v>
      </c>
      <c r="C621" s="490">
        <v>-21.11</v>
      </c>
      <c r="D621" s="490">
        <v>145.13999999999999</v>
      </c>
      <c r="E621" s="492" t="s">
        <v>273</v>
      </c>
      <c r="F621" s="492" t="s">
        <v>273</v>
      </c>
      <c r="G621" s="492" t="s">
        <v>273</v>
      </c>
      <c r="H621" s="490">
        <v>0.4</v>
      </c>
      <c r="I621" s="492" t="s">
        <v>273</v>
      </c>
      <c r="J621" s="492" t="s">
        <v>273</v>
      </c>
      <c r="K621" s="490">
        <v>1</v>
      </c>
      <c r="L621" s="490">
        <v>4</v>
      </c>
      <c r="M621" s="490">
        <v>1</v>
      </c>
      <c r="N621" s="522"/>
    </row>
    <row r="622" spans="1:14" s="523" customFormat="1" ht="15">
      <c r="A622" s="522"/>
      <c r="B622" s="508" t="s">
        <v>2020</v>
      </c>
      <c r="C622" s="490">
        <v>-21.11</v>
      </c>
      <c r="D622" s="490">
        <v>145.13999999999999</v>
      </c>
      <c r="E622" s="492" t="s">
        <v>273</v>
      </c>
      <c r="F622" s="492" t="s">
        <v>273</v>
      </c>
      <c r="G622" s="492" t="s">
        <v>273</v>
      </c>
      <c r="H622" s="490">
        <v>0.4</v>
      </c>
      <c r="I622" s="492" t="s">
        <v>273</v>
      </c>
      <c r="J622" s="492" t="s">
        <v>273</v>
      </c>
      <c r="K622" s="490">
        <v>1</v>
      </c>
      <c r="L622" s="490">
        <v>4</v>
      </c>
      <c r="M622" s="490">
        <v>1</v>
      </c>
      <c r="N622" s="522"/>
    </row>
    <row r="623" spans="1:14" s="523" customFormat="1" ht="15">
      <c r="A623" s="522"/>
      <c r="B623" s="508" t="s">
        <v>2020</v>
      </c>
      <c r="C623" s="490">
        <v>-21.11</v>
      </c>
      <c r="D623" s="490">
        <v>145.13999999999999</v>
      </c>
      <c r="E623" s="492" t="s">
        <v>2074</v>
      </c>
      <c r="F623" s="492" t="s">
        <v>2074</v>
      </c>
      <c r="G623" s="492" t="s">
        <v>2074</v>
      </c>
      <c r="H623" s="490">
        <v>0.4</v>
      </c>
      <c r="I623" s="492" t="s">
        <v>2074</v>
      </c>
      <c r="J623" s="492" t="s">
        <v>2074</v>
      </c>
      <c r="K623" s="490">
        <v>1</v>
      </c>
      <c r="L623" s="490">
        <v>4</v>
      </c>
      <c r="M623" s="490">
        <v>1</v>
      </c>
      <c r="N623" s="522"/>
    </row>
    <row r="624" spans="1:14" s="523" customFormat="1" ht="15">
      <c r="A624" s="522"/>
      <c r="B624" s="508" t="s">
        <v>2020</v>
      </c>
      <c r="C624" s="490">
        <v>-21.11</v>
      </c>
      <c r="D624" s="490">
        <v>145.13999999999999</v>
      </c>
      <c r="E624" s="492" t="s">
        <v>2074</v>
      </c>
      <c r="F624" s="492" t="s">
        <v>2074</v>
      </c>
      <c r="G624" s="492" t="s">
        <v>2074</v>
      </c>
      <c r="H624" s="490">
        <v>0.4</v>
      </c>
      <c r="I624" s="492" t="s">
        <v>2074</v>
      </c>
      <c r="J624" s="492" t="s">
        <v>2074</v>
      </c>
      <c r="K624" s="490">
        <v>1</v>
      </c>
      <c r="L624" s="490">
        <v>4</v>
      </c>
      <c r="M624" s="490">
        <v>1</v>
      </c>
      <c r="N624" s="522"/>
    </row>
    <row r="625" spans="1:14" s="523" customFormat="1" ht="15">
      <c r="A625" s="522"/>
      <c r="B625" s="508" t="s">
        <v>2020</v>
      </c>
      <c r="C625" s="490">
        <v>-21.11</v>
      </c>
      <c r="D625" s="490">
        <v>145.13999999999999</v>
      </c>
      <c r="E625" s="492" t="s">
        <v>2074</v>
      </c>
      <c r="F625" s="492" t="s">
        <v>2074</v>
      </c>
      <c r="G625" s="492" t="s">
        <v>2074</v>
      </c>
      <c r="H625" s="490">
        <v>0.3</v>
      </c>
      <c r="I625" s="492" t="s">
        <v>2074</v>
      </c>
      <c r="J625" s="492" t="s">
        <v>2074</v>
      </c>
      <c r="K625" s="490">
        <v>1</v>
      </c>
      <c r="L625" s="490">
        <v>4</v>
      </c>
      <c r="M625" s="490">
        <v>1</v>
      </c>
      <c r="N625" s="522"/>
    </row>
    <row r="626" spans="1:14" s="523" customFormat="1" ht="15">
      <c r="A626" s="522"/>
      <c r="B626" s="508" t="s">
        <v>2020</v>
      </c>
      <c r="C626" s="490">
        <v>-21.11</v>
      </c>
      <c r="D626" s="490">
        <v>145.13999999999999</v>
      </c>
      <c r="E626" s="492" t="s">
        <v>2074</v>
      </c>
      <c r="F626" s="492" t="s">
        <v>2074</v>
      </c>
      <c r="G626" s="492" t="s">
        <v>2074</v>
      </c>
      <c r="H626" s="490">
        <v>0.3</v>
      </c>
      <c r="I626" s="492" t="s">
        <v>2074</v>
      </c>
      <c r="J626" s="492" t="s">
        <v>2074</v>
      </c>
      <c r="K626" s="490">
        <v>1</v>
      </c>
      <c r="L626" s="490">
        <v>4</v>
      </c>
      <c r="M626" s="490">
        <v>1</v>
      </c>
      <c r="N626" s="522"/>
    </row>
    <row r="627" spans="1:14" s="523" customFormat="1" ht="15">
      <c r="A627" s="522"/>
      <c r="B627" s="508" t="s">
        <v>2020</v>
      </c>
      <c r="C627" s="490">
        <v>-21.11</v>
      </c>
      <c r="D627" s="490">
        <v>145.13999999999999</v>
      </c>
      <c r="E627" s="492" t="s">
        <v>2074</v>
      </c>
      <c r="F627" s="492" t="s">
        <v>2074</v>
      </c>
      <c r="G627" s="492" t="s">
        <v>2074</v>
      </c>
      <c r="H627" s="490">
        <v>0.3</v>
      </c>
      <c r="I627" s="492" t="s">
        <v>2074</v>
      </c>
      <c r="J627" s="492" t="s">
        <v>2074</v>
      </c>
      <c r="K627" s="490">
        <v>1</v>
      </c>
      <c r="L627" s="490">
        <v>4</v>
      </c>
      <c r="M627" s="490">
        <v>1</v>
      </c>
      <c r="N627" s="522"/>
    </row>
    <row r="628" spans="1:14" s="523" customFormat="1" ht="15">
      <c r="A628" s="522"/>
      <c r="B628" s="508" t="s">
        <v>2020</v>
      </c>
      <c r="C628" s="490">
        <v>-21.11</v>
      </c>
      <c r="D628" s="490">
        <v>145.13999999999999</v>
      </c>
      <c r="E628" s="492" t="s">
        <v>2074</v>
      </c>
      <c r="F628" s="492" t="s">
        <v>2074</v>
      </c>
      <c r="G628" s="492" t="s">
        <v>2074</v>
      </c>
      <c r="H628" s="490">
        <v>0.3</v>
      </c>
      <c r="I628" s="492" t="s">
        <v>2074</v>
      </c>
      <c r="J628" s="492" t="s">
        <v>2074</v>
      </c>
      <c r="K628" s="490">
        <v>1</v>
      </c>
      <c r="L628" s="490">
        <v>4</v>
      </c>
      <c r="M628" s="490">
        <v>1</v>
      </c>
      <c r="N628" s="522"/>
    </row>
    <row r="629" spans="1:14" s="523" customFormat="1" ht="15">
      <c r="A629" s="522"/>
      <c r="B629" s="508" t="s">
        <v>2020</v>
      </c>
      <c r="C629" s="490">
        <v>-21.11</v>
      </c>
      <c r="D629" s="490">
        <v>145.13999999999999</v>
      </c>
      <c r="E629" s="492" t="s">
        <v>2074</v>
      </c>
      <c r="F629" s="492" t="s">
        <v>2074</v>
      </c>
      <c r="G629" s="492" t="s">
        <v>2074</v>
      </c>
      <c r="H629" s="490">
        <v>0.2</v>
      </c>
      <c r="I629" s="492" t="s">
        <v>2074</v>
      </c>
      <c r="J629" s="492" t="s">
        <v>2074</v>
      </c>
      <c r="K629" s="490">
        <v>1</v>
      </c>
      <c r="L629" s="490">
        <v>4</v>
      </c>
      <c r="M629" s="490">
        <v>1</v>
      </c>
      <c r="N629" s="522"/>
    </row>
    <row r="630" spans="1:14" s="523" customFormat="1" ht="15">
      <c r="A630" s="522"/>
      <c r="B630" s="508" t="s">
        <v>2020</v>
      </c>
      <c r="C630" s="490">
        <v>-21.11</v>
      </c>
      <c r="D630" s="490">
        <v>145.15</v>
      </c>
      <c r="E630" s="492" t="s">
        <v>2074</v>
      </c>
      <c r="F630" s="492" t="s">
        <v>2074</v>
      </c>
      <c r="G630" s="492" t="s">
        <v>2074</v>
      </c>
      <c r="H630" s="490">
        <v>0.1</v>
      </c>
      <c r="I630" s="492" t="s">
        <v>2074</v>
      </c>
      <c r="J630" s="492" t="s">
        <v>2074</v>
      </c>
      <c r="K630" s="490">
        <v>1</v>
      </c>
      <c r="L630" s="490">
        <v>4</v>
      </c>
      <c r="M630" s="490">
        <v>1</v>
      </c>
      <c r="N630" s="522"/>
    </row>
    <row r="631" spans="1:14" s="523" customFormat="1" ht="15">
      <c r="A631" s="522"/>
      <c r="B631" s="508" t="s">
        <v>2020</v>
      </c>
      <c r="C631" s="490">
        <v>-21.11</v>
      </c>
      <c r="D631" s="490">
        <v>145.15</v>
      </c>
      <c r="E631" s="493" t="s">
        <v>2074</v>
      </c>
      <c r="F631" s="493" t="s">
        <v>2074</v>
      </c>
      <c r="G631" s="493" t="s">
        <v>2074</v>
      </c>
      <c r="H631" s="490">
        <v>1.3</v>
      </c>
      <c r="I631" s="492" t="s">
        <v>2074</v>
      </c>
      <c r="J631" s="492" t="s">
        <v>2074</v>
      </c>
      <c r="K631" s="490">
        <v>1</v>
      </c>
      <c r="L631" s="490">
        <v>4</v>
      </c>
      <c r="M631" s="490">
        <v>2</v>
      </c>
      <c r="N631" s="522"/>
    </row>
    <row r="632" spans="1:14" s="523" customFormat="1" ht="15">
      <c r="A632" s="522"/>
      <c r="B632" s="508" t="s">
        <v>2021</v>
      </c>
      <c r="C632" s="490">
        <v>-12.5</v>
      </c>
      <c r="D632" s="490">
        <v>132.30000000000001</v>
      </c>
      <c r="E632" s="492" t="s">
        <v>2074</v>
      </c>
      <c r="F632" s="492" t="s">
        <v>2074</v>
      </c>
      <c r="G632" s="492" t="s">
        <v>2074</v>
      </c>
      <c r="H632" s="490">
        <v>5.6</v>
      </c>
      <c r="I632" s="492" t="s">
        <v>2074</v>
      </c>
      <c r="J632" s="492" t="s">
        <v>2074</v>
      </c>
      <c r="K632" s="490">
        <v>1</v>
      </c>
      <c r="L632" s="490">
        <v>4</v>
      </c>
      <c r="M632" s="490">
        <v>3</v>
      </c>
      <c r="N632" s="522"/>
    </row>
    <row r="633" spans="1:14" s="523" customFormat="1" ht="15">
      <c r="A633" s="522"/>
      <c r="B633" s="508" t="s">
        <v>2022</v>
      </c>
      <c r="C633" s="490">
        <v>-18.399999999999999</v>
      </c>
      <c r="D633" s="490">
        <v>124.11</v>
      </c>
      <c r="E633" s="492" t="s">
        <v>2074</v>
      </c>
      <c r="F633" s="492" t="s">
        <v>2074</v>
      </c>
      <c r="G633" s="492" t="s">
        <v>2074</v>
      </c>
      <c r="H633" s="510">
        <f>AVERAGE(5,10)</f>
        <v>7.5</v>
      </c>
      <c r="I633" s="492" t="s">
        <v>2074</v>
      </c>
      <c r="J633" s="492" t="s">
        <v>2074</v>
      </c>
      <c r="K633" s="490">
        <v>1</v>
      </c>
      <c r="L633" s="490">
        <v>4</v>
      </c>
      <c r="M633" s="490">
        <v>1</v>
      </c>
      <c r="N633" s="522"/>
    </row>
    <row r="634" spans="1:14" s="523" customFormat="1" ht="15">
      <c r="A634" s="522"/>
      <c r="B634" s="508" t="s">
        <v>2022</v>
      </c>
      <c r="C634" s="490">
        <v>-18.399999999999999</v>
      </c>
      <c r="D634" s="490">
        <v>124.11</v>
      </c>
      <c r="E634" s="492" t="s">
        <v>2074</v>
      </c>
      <c r="F634" s="492" t="s">
        <v>2074</v>
      </c>
      <c r="G634" s="492" t="s">
        <v>2074</v>
      </c>
      <c r="H634" s="490">
        <v>4.2</v>
      </c>
      <c r="I634" s="492" t="s">
        <v>2074</v>
      </c>
      <c r="J634" s="492" t="s">
        <v>2074</v>
      </c>
      <c r="K634" s="490">
        <v>1</v>
      </c>
      <c r="L634" s="490">
        <v>4</v>
      </c>
      <c r="M634" s="490">
        <v>1</v>
      </c>
      <c r="N634" s="522"/>
    </row>
    <row r="635" spans="1:14" s="523" customFormat="1" ht="15">
      <c r="A635" s="522"/>
      <c r="B635" s="508" t="s">
        <v>2022</v>
      </c>
      <c r="C635" s="490">
        <v>-18.399999999999999</v>
      </c>
      <c r="D635" s="490">
        <v>124.11</v>
      </c>
      <c r="E635" s="492" t="s">
        <v>2074</v>
      </c>
      <c r="F635" s="492" t="s">
        <v>2074</v>
      </c>
      <c r="G635" s="492" t="s">
        <v>2074</v>
      </c>
      <c r="H635" s="490">
        <f>AVERAGE(2,4.2)</f>
        <v>3.1</v>
      </c>
      <c r="I635" s="492" t="s">
        <v>2074</v>
      </c>
      <c r="J635" s="492" t="s">
        <v>2074</v>
      </c>
      <c r="K635" s="490">
        <v>1</v>
      </c>
      <c r="L635" s="490">
        <v>4</v>
      </c>
      <c r="M635" s="490">
        <v>1</v>
      </c>
      <c r="N635" s="522"/>
    </row>
    <row r="636" spans="1:14" s="523" customFormat="1" ht="15">
      <c r="A636" s="522"/>
      <c r="B636" s="508" t="s">
        <v>2022</v>
      </c>
      <c r="C636" s="490">
        <v>-18.399999999999999</v>
      </c>
      <c r="D636" s="490">
        <v>124.11</v>
      </c>
      <c r="E636" s="492" t="s">
        <v>2074</v>
      </c>
      <c r="F636" s="492" t="s">
        <v>2074</v>
      </c>
      <c r="G636" s="492" t="s">
        <v>2074</v>
      </c>
      <c r="H636" s="490">
        <v>4.9000000000000004</v>
      </c>
      <c r="I636" s="492" t="s">
        <v>2074</v>
      </c>
      <c r="J636" s="492" t="s">
        <v>2074</v>
      </c>
      <c r="K636" s="490">
        <v>1</v>
      </c>
      <c r="L636" s="490">
        <v>4</v>
      </c>
      <c r="M636" s="490">
        <v>2</v>
      </c>
      <c r="N636" s="522"/>
    </row>
    <row r="637" spans="1:14" s="523" customFormat="1" ht="15">
      <c r="A637" s="522"/>
      <c r="B637" s="508" t="s">
        <v>2108</v>
      </c>
      <c r="C637" s="490">
        <v>-12.27</v>
      </c>
      <c r="D637" s="490">
        <v>130.52000000000001</v>
      </c>
      <c r="E637" s="492" t="s">
        <v>2074</v>
      </c>
      <c r="F637" s="492" t="s">
        <v>2074</v>
      </c>
      <c r="G637" s="492" t="s">
        <v>2074</v>
      </c>
      <c r="H637" s="491">
        <v>5.0999999999999996</v>
      </c>
      <c r="I637" s="492" t="s">
        <v>2074</v>
      </c>
      <c r="J637" s="492" t="s">
        <v>2074</v>
      </c>
      <c r="K637" s="490">
        <v>1</v>
      </c>
      <c r="L637" s="490">
        <v>4</v>
      </c>
      <c r="M637" s="490">
        <v>3</v>
      </c>
      <c r="N637" s="522"/>
    </row>
    <row r="638" spans="1:14" s="523" customFormat="1" ht="15">
      <c r="A638" s="522"/>
      <c r="B638" s="508" t="s">
        <v>2023</v>
      </c>
      <c r="C638" s="490">
        <v>-12.3</v>
      </c>
      <c r="D638" s="490">
        <v>131.02000000000001</v>
      </c>
      <c r="E638" s="492" t="s">
        <v>2074</v>
      </c>
      <c r="F638" s="492" t="s">
        <v>2074</v>
      </c>
      <c r="G638" s="492" t="s">
        <v>2074</v>
      </c>
      <c r="H638" s="491">
        <v>5</v>
      </c>
      <c r="I638" s="492" t="s">
        <v>2074</v>
      </c>
      <c r="J638" s="492" t="s">
        <v>2074</v>
      </c>
      <c r="K638" s="490">
        <v>1</v>
      </c>
      <c r="L638" s="490">
        <v>4</v>
      </c>
      <c r="M638" s="490">
        <v>3</v>
      </c>
      <c r="N638" s="522"/>
    </row>
    <row r="639" spans="1:14" s="523" customFormat="1" ht="15">
      <c r="A639" s="522"/>
      <c r="B639" s="508" t="s">
        <v>2029</v>
      </c>
      <c r="C639" s="490">
        <v>-12.38</v>
      </c>
      <c r="D639" s="490">
        <v>133.55000000000001</v>
      </c>
      <c r="E639" s="492" t="s">
        <v>2074</v>
      </c>
      <c r="F639" s="492" t="s">
        <v>2074</v>
      </c>
      <c r="G639" s="492" t="s">
        <v>2074</v>
      </c>
      <c r="H639" s="490">
        <v>9</v>
      </c>
      <c r="I639" s="492" t="s">
        <v>2074</v>
      </c>
      <c r="J639" s="492" t="s">
        <v>2074</v>
      </c>
      <c r="K639" s="490">
        <v>1</v>
      </c>
      <c r="L639" s="490">
        <v>4</v>
      </c>
      <c r="M639" s="490">
        <v>1</v>
      </c>
      <c r="N639" s="522"/>
    </row>
    <row r="640" spans="1:14" s="523" customFormat="1" ht="15">
      <c r="A640" s="522"/>
      <c r="B640" s="508" t="s">
        <v>2029</v>
      </c>
      <c r="C640" s="490">
        <v>-12.38</v>
      </c>
      <c r="D640" s="490">
        <v>133.55000000000001</v>
      </c>
      <c r="E640" s="492" t="s">
        <v>2074</v>
      </c>
      <c r="F640" s="492" t="s">
        <v>2074</v>
      </c>
      <c r="G640" s="492" t="s">
        <v>2074</v>
      </c>
      <c r="H640" s="490">
        <v>7.3</v>
      </c>
      <c r="I640" s="492" t="s">
        <v>2074</v>
      </c>
      <c r="J640" s="492" t="s">
        <v>2074</v>
      </c>
      <c r="K640" s="490">
        <v>1</v>
      </c>
      <c r="L640" s="490">
        <v>4</v>
      </c>
      <c r="M640" s="490">
        <v>1</v>
      </c>
      <c r="N640" s="522"/>
    </row>
    <row r="641" spans="1:14" s="523" customFormat="1" ht="15">
      <c r="A641" s="522"/>
      <c r="B641" s="508" t="s">
        <v>2029</v>
      </c>
      <c r="C641" s="490">
        <v>-12.38</v>
      </c>
      <c r="D641" s="490">
        <v>133.55000000000001</v>
      </c>
      <c r="E641" s="492" t="s">
        <v>2074</v>
      </c>
      <c r="F641" s="492" t="s">
        <v>2074</v>
      </c>
      <c r="G641" s="492" t="s">
        <v>2074</v>
      </c>
      <c r="H641" s="490">
        <v>5.9</v>
      </c>
      <c r="I641" s="492" t="s">
        <v>2074</v>
      </c>
      <c r="J641" s="492" t="s">
        <v>2074</v>
      </c>
      <c r="K641" s="490">
        <v>1</v>
      </c>
      <c r="L641" s="490">
        <v>4</v>
      </c>
      <c r="M641" s="490">
        <v>1</v>
      </c>
      <c r="N641" s="522"/>
    </row>
    <row r="642" spans="1:14" s="523" customFormat="1" ht="15">
      <c r="A642" s="522"/>
      <c r="B642" s="508" t="s">
        <v>2029</v>
      </c>
      <c r="C642" s="490">
        <v>-12.38</v>
      </c>
      <c r="D642" s="490">
        <v>133.55000000000001</v>
      </c>
      <c r="E642" s="492" t="s">
        <v>2074</v>
      </c>
      <c r="F642" s="492" t="s">
        <v>2074</v>
      </c>
      <c r="G642" s="492" t="s">
        <v>2074</v>
      </c>
      <c r="H642" s="490">
        <v>7.4</v>
      </c>
      <c r="I642" s="492" t="s">
        <v>2074</v>
      </c>
      <c r="J642" s="492" t="s">
        <v>2074</v>
      </c>
      <c r="K642" s="490">
        <v>1</v>
      </c>
      <c r="L642" s="490">
        <v>4</v>
      </c>
      <c r="M642" s="490">
        <v>2</v>
      </c>
      <c r="N642" s="522"/>
    </row>
    <row r="643" spans="1:14" s="523" customFormat="1" ht="15">
      <c r="A643" s="522"/>
      <c r="B643" s="508" t="s">
        <v>2030</v>
      </c>
      <c r="C643" s="490">
        <v>-17.48</v>
      </c>
      <c r="D643" s="490">
        <v>140.08000000000001</v>
      </c>
      <c r="E643" s="492" t="s">
        <v>2074</v>
      </c>
      <c r="F643" s="492" t="s">
        <v>2074</v>
      </c>
      <c r="G643" s="492" t="s">
        <v>2074</v>
      </c>
      <c r="H643" s="491">
        <v>7.3</v>
      </c>
      <c r="I643" s="492" t="s">
        <v>2074</v>
      </c>
      <c r="J643" s="492" t="s">
        <v>2074</v>
      </c>
      <c r="K643" s="490">
        <v>1</v>
      </c>
      <c r="L643" s="490">
        <v>4</v>
      </c>
      <c r="M643" s="490">
        <v>3</v>
      </c>
      <c r="N643" s="522"/>
    </row>
    <row r="644" spans="1:14" s="523" customFormat="1" ht="15">
      <c r="A644" s="522"/>
      <c r="B644" s="508" t="s">
        <v>2030</v>
      </c>
      <c r="C644" s="490">
        <v>-14.18</v>
      </c>
      <c r="D644" s="490">
        <v>132.25</v>
      </c>
      <c r="E644" s="492" t="s">
        <v>2074</v>
      </c>
      <c r="F644" s="492" t="s">
        <v>2074</v>
      </c>
      <c r="G644" s="492" t="s">
        <v>2074</v>
      </c>
      <c r="H644" s="490">
        <v>6.4</v>
      </c>
      <c r="I644" s="492" t="s">
        <v>2074</v>
      </c>
      <c r="J644" s="492" t="s">
        <v>2074</v>
      </c>
      <c r="K644" s="490">
        <v>1</v>
      </c>
      <c r="L644" s="490">
        <v>4</v>
      </c>
      <c r="M644" s="490">
        <v>3</v>
      </c>
      <c r="N644" s="522"/>
    </row>
    <row r="645" spans="1:14" s="523" customFormat="1" ht="15">
      <c r="A645" s="522"/>
      <c r="B645" s="508" t="s">
        <v>2030</v>
      </c>
      <c r="C645" s="490">
        <v>-26.49</v>
      </c>
      <c r="D645" s="490">
        <v>150.46</v>
      </c>
      <c r="E645" s="492" t="s">
        <v>2074</v>
      </c>
      <c r="F645" s="492" t="s">
        <v>2074</v>
      </c>
      <c r="G645" s="492" t="s">
        <v>2074</v>
      </c>
      <c r="H645" s="490">
        <v>8.1999999999999993</v>
      </c>
      <c r="I645" s="492" t="s">
        <v>2074</v>
      </c>
      <c r="J645" s="492" t="s">
        <v>2074</v>
      </c>
      <c r="K645" s="490">
        <v>1</v>
      </c>
      <c r="L645" s="490">
        <v>4</v>
      </c>
      <c r="M645" s="490">
        <v>3</v>
      </c>
      <c r="N645" s="522"/>
    </row>
    <row r="646" spans="1:14" s="523" customFormat="1" ht="15">
      <c r="A646" s="522"/>
      <c r="B646" s="508" t="s">
        <v>2030</v>
      </c>
      <c r="C646" s="490">
        <v>-21.13</v>
      </c>
      <c r="D646" s="490">
        <v>149.08000000000001</v>
      </c>
      <c r="E646" s="492" t="s">
        <v>2074</v>
      </c>
      <c r="F646" s="492" t="s">
        <v>2074</v>
      </c>
      <c r="G646" s="492" t="s">
        <v>2074</v>
      </c>
      <c r="H646" s="490">
        <v>8.1999999999999993</v>
      </c>
      <c r="I646" s="492" t="s">
        <v>2074</v>
      </c>
      <c r="J646" s="492" t="s">
        <v>2074</v>
      </c>
      <c r="K646" s="490">
        <v>1</v>
      </c>
      <c r="L646" s="490">
        <v>4</v>
      </c>
      <c r="M646" s="490">
        <v>3</v>
      </c>
      <c r="N646" s="522"/>
    </row>
    <row r="647" spans="1:14" s="523" customFormat="1" ht="15">
      <c r="A647" s="522"/>
      <c r="B647" s="508" t="s">
        <v>2030</v>
      </c>
      <c r="C647" s="490">
        <v>-18.3</v>
      </c>
      <c r="D647" s="490">
        <v>144.05000000000001</v>
      </c>
      <c r="E647" s="492" t="s">
        <v>2074</v>
      </c>
      <c r="F647" s="492" t="s">
        <v>2074</v>
      </c>
      <c r="G647" s="492" t="s">
        <v>2074</v>
      </c>
      <c r="H647" s="490">
        <v>8.1999999999999993</v>
      </c>
      <c r="I647" s="492" t="s">
        <v>2074</v>
      </c>
      <c r="J647" s="492" t="s">
        <v>2074</v>
      </c>
      <c r="K647" s="490">
        <v>1</v>
      </c>
      <c r="L647" s="490">
        <v>4</v>
      </c>
      <c r="M647" s="490">
        <v>3</v>
      </c>
      <c r="N647" s="522"/>
    </row>
    <row r="648" spans="1:14" s="523" customFormat="1" ht="15">
      <c r="A648" s="522"/>
      <c r="B648" s="508" t="s">
        <v>2030</v>
      </c>
      <c r="C648" s="490">
        <v>-26.32</v>
      </c>
      <c r="D648" s="490">
        <v>148.01</v>
      </c>
      <c r="E648" s="492" t="s">
        <v>2074</v>
      </c>
      <c r="F648" s="492" t="s">
        <v>2074</v>
      </c>
      <c r="G648" s="492" t="s">
        <v>2074</v>
      </c>
      <c r="H648" s="490">
        <v>8.1999999999999993</v>
      </c>
      <c r="I648" s="492" t="s">
        <v>2074</v>
      </c>
      <c r="J648" s="492" t="s">
        <v>2074</v>
      </c>
      <c r="K648" s="490">
        <v>1</v>
      </c>
      <c r="L648" s="490">
        <v>4</v>
      </c>
      <c r="M648" s="490">
        <v>3</v>
      </c>
      <c r="N648" s="522"/>
    </row>
    <row r="649" spans="1:14" s="523" customFormat="1" ht="15">
      <c r="A649" s="522"/>
      <c r="B649" s="508" t="s">
        <v>2030</v>
      </c>
      <c r="C649" s="490">
        <v>-20.399999999999999</v>
      </c>
      <c r="D649" s="490">
        <v>139.25</v>
      </c>
      <c r="E649" s="492" t="s">
        <v>2074</v>
      </c>
      <c r="F649" s="492" t="s">
        <v>2074</v>
      </c>
      <c r="G649" s="492" t="s">
        <v>2074</v>
      </c>
      <c r="H649" s="490">
        <v>8.1999999999999993</v>
      </c>
      <c r="I649" s="492" t="s">
        <v>2074</v>
      </c>
      <c r="J649" s="492" t="s">
        <v>2074</v>
      </c>
      <c r="K649" s="490">
        <v>1</v>
      </c>
      <c r="L649" s="490">
        <v>4</v>
      </c>
      <c r="M649" s="490">
        <v>3</v>
      </c>
      <c r="N649" s="522"/>
    </row>
    <row r="650" spans="1:14" s="523" customFormat="1" ht="15">
      <c r="A650" s="522"/>
      <c r="B650" s="508" t="s">
        <v>2030</v>
      </c>
      <c r="C650" s="490">
        <v>-15.48</v>
      </c>
      <c r="D650" s="490">
        <v>128.44999999999999</v>
      </c>
      <c r="E650" s="492" t="s">
        <v>2074</v>
      </c>
      <c r="F650" s="492" t="s">
        <v>2074</v>
      </c>
      <c r="G650" s="492" t="s">
        <v>2074</v>
      </c>
      <c r="H650" s="490">
        <v>8.1</v>
      </c>
      <c r="I650" s="492" t="s">
        <v>2074</v>
      </c>
      <c r="J650" s="492" t="s">
        <v>2074</v>
      </c>
      <c r="K650" s="490">
        <v>1</v>
      </c>
      <c r="L650" s="490">
        <v>4</v>
      </c>
      <c r="M650" s="490">
        <v>3</v>
      </c>
      <c r="N650" s="522"/>
    </row>
    <row r="651" spans="1:14" s="523" customFormat="1" ht="15">
      <c r="A651" s="522"/>
      <c r="B651" s="508" t="s">
        <v>2030</v>
      </c>
      <c r="C651" s="490">
        <v>-15.31</v>
      </c>
      <c r="D651" s="490">
        <v>132.4</v>
      </c>
      <c r="E651" s="492" t="s">
        <v>2074</v>
      </c>
      <c r="F651" s="492" t="s">
        <v>2074</v>
      </c>
      <c r="G651" s="492" t="s">
        <v>2074</v>
      </c>
      <c r="H651" s="490">
        <v>7.8</v>
      </c>
      <c r="I651" s="492" t="s">
        <v>2074</v>
      </c>
      <c r="J651" s="492" t="s">
        <v>2074</v>
      </c>
      <c r="K651" s="490">
        <v>1</v>
      </c>
      <c r="L651" s="490">
        <v>4</v>
      </c>
      <c r="M651" s="490">
        <v>3</v>
      </c>
      <c r="N651" s="522"/>
    </row>
    <row r="652" spans="1:14" s="523" customFormat="1" ht="15">
      <c r="A652" s="522"/>
      <c r="B652" s="508" t="s">
        <v>2030</v>
      </c>
      <c r="C652" s="490">
        <v>-10.42</v>
      </c>
      <c r="D652" s="490">
        <v>142.31</v>
      </c>
      <c r="E652" s="492" t="s">
        <v>2074</v>
      </c>
      <c r="F652" s="492" t="s">
        <v>2074</v>
      </c>
      <c r="G652" s="492" t="s">
        <v>2074</v>
      </c>
      <c r="H652" s="490">
        <v>7.7</v>
      </c>
      <c r="I652" s="492" t="s">
        <v>2074</v>
      </c>
      <c r="J652" s="492" t="s">
        <v>2074</v>
      </c>
      <c r="K652" s="490">
        <v>1</v>
      </c>
      <c r="L652" s="490">
        <v>4</v>
      </c>
      <c r="M652" s="490">
        <v>3</v>
      </c>
      <c r="N652" s="522"/>
    </row>
    <row r="653" spans="1:14" s="523" customFormat="1" ht="15">
      <c r="A653" s="522"/>
      <c r="B653" s="508" t="s">
        <v>2030</v>
      </c>
      <c r="C653" s="490">
        <v>-16.149999999999999</v>
      </c>
      <c r="D653" s="490">
        <v>145.25</v>
      </c>
      <c r="E653" s="492" t="s">
        <v>2074</v>
      </c>
      <c r="F653" s="492" t="s">
        <v>2074</v>
      </c>
      <c r="G653" s="492" t="s">
        <v>2074</v>
      </c>
      <c r="H653" s="490">
        <v>7.6</v>
      </c>
      <c r="I653" s="492" t="s">
        <v>2074</v>
      </c>
      <c r="J653" s="492" t="s">
        <v>2074</v>
      </c>
      <c r="K653" s="490">
        <v>1</v>
      </c>
      <c r="L653" s="490">
        <v>4</v>
      </c>
      <c r="M653" s="490">
        <v>3</v>
      </c>
      <c r="N653" s="522"/>
    </row>
    <row r="654" spans="1:14" s="523" customFormat="1" ht="15">
      <c r="A654" s="522"/>
      <c r="B654" s="508" t="s">
        <v>2030</v>
      </c>
      <c r="C654" s="490">
        <v>-20.39</v>
      </c>
      <c r="D654" s="490">
        <v>116.25</v>
      </c>
      <c r="E654" s="492" t="s">
        <v>2074</v>
      </c>
      <c r="F654" s="492" t="s">
        <v>2074</v>
      </c>
      <c r="G654" s="492" t="s">
        <v>2074</v>
      </c>
      <c r="H654" s="490">
        <v>7.1</v>
      </c>
      <c r="I654" s="492" t="s">
        <v>2074</v>
      </c>
      <c r="J654" s="492" t="s">
        <v>2074</v>
      </c>
      <c r="K654" s="490">
        <v>1</v>
      </c>
      <c r="L654" s="490">
        <v>4</v>
      </c>
      <c r="M654" s="490">
        <v>3</v>
      </c>
      <c r="N654" s="522"/>
    </row>
    <row r="655" spans="1:14" s="523" customFormat="1" ht="15">
      <c r="A655" s="522"/>
      <c r="B655" s="508" t="s">
        <v>2030</v>
      </c>
      <c r="C655" s="490">
        <v>-16.149999999999999</v>
      </c>
      <c r="D655" s="490">
        <v>145.25</v>
      </c>
      <c r="E655" s="492" t="s">
        <v>2074</v>
      </c>
      <c r="F655" s="492" t="s">
        <v>2074</v>
      </c>
      <c r="G655" s="492" t="s">
        <v>2074</v>
      </c>
      <c r="H655" s="490">
        <v>6.9</v>
      </c>
      <c r="I655" s="492" t="s">
        <v>2074</v>
      </c>
      <c r="J655" s="492" t="s">
        <v>2074</v>
      </c>
      <c r="K655" s="490">
        <v>1</v>
      </c>
      <c r="L655" s="490">
        <v>4</v>
      </c>
      <c r="M655" s="490">
        <v>3</v>
      </c>
      <c r="N655" s="522"/>
    </row>
    <row r="656" spans="1:14" s="523" customFormat="1" ht="15">
      <c r="A656" s="522"/>
      <c r="B656" s="508" t="s">
        <v>2030</v>
      </c>
      <c r="C656" s="490">
        <v>-12.57</v>
      </c>
      <c r="D656" s="490">
        <v>135.16999999999999</v>
      </c>
      <c r="E656" s="492" t="s">
        <v>2074</v>
      </c>
      <c r="F656" s="492" t="s">
        <v>2074</v>
      </c>
      <c r="G656" s="492" t="s">
        <v>2074</v>
      </c>
      <c r="H656" s="490">
        <v>6.6</v>
      </c>
      <c r="I656" s="492" t="s">
        <v>2074</v>
      </c>
      <c r="J656" s="492" t="s">
        <v>2074</v>
      </c>
      <c r="K656" s="490">
        <v>1</v>
      </c>
      <c r="L656" s="490">
        <v>4</v>
      </c>
      <c r="M656" s="490">
        <v>3</v>
      </c>
      <c r="N656" s="522"/>
    </row>
    <row r="657" spans="1:14" s="523" customFormat="1" ht="15">
      <c r="A657" s="522"/>
      <c r="B657" s="508" t="s">
        <v>2030</v>
      </c>
      <c r="C657" s="490">
        <v>-15.48</v>
      </c>
      <c r="D657" s="490">
        <v>128.44999999999999</v>
      </c>
      <c r="E657" s="492" t="s">
        <v>2074</v>
      </c>
      <c r="F657" s="492" t="s">
        <v>2074</v>
      </c>
      <c r="G657" s="492" t="s">
        <v>2074</v>
      </c>
      <c r="H657" s="490">
        <v>6.2</v>
      </c>
      <c r="I657" s="492" t="s">
        <v>2074</v>
      </c>
      <c r="J657" s="492" t="s">
        <v>2074</v>
      </c>
      <c r="K657" s="490">
        <v>1</v>
      </c>
      <c r="L657" s="490">
        <v>4</v>
      </c>
      <c r="M657" s="490">
        <v>3</v>
      </c>
      <c r="N657" s="522"/>
    </row>
    <row r="658" spans="1:14" s="523" customFormat="1" ht="15">
      <c r="A658" s="522"/>
      <c r="B658" s="508" t="s">
        <v>2030</v>
      </c>
      <c r="C658" s="490">
        <v>-13.49</v>
      </c>
      <c r="D658" s="490">
        <v>131.5</v>
      </c>
      <c r="E658" s="492" t="s">
        <v>2074</v>
      </c>
      <c r="F658" s="492" t="s">
        <v>2074</v>
      </c>
      <c r="G658" s="492" t="s">
        <v>2074</v>
      </c>
      <c r="H658" s="490">
        <v>5.5</v>
      </c>
      <c r="I658" s="492" t="s">
        <v>2074</v>
      </c>
      <c r="J658" s="492" t="s">
        <v>2074</v>
      </c>
      <c r="K658" s="490">
        <v>1</v>
      </c>
      <c r="L658" s="490">
        <v>4</v>
      </c>
      <c r="M658" s="490">
        <v>3</v>
      </c>
      <c r="N658" s="522"/>
    </row>
    <row r="659" spans="1:14" s="523" customFormat="1" ht="15">
      <c r="A659" s="522"/>
      <c r="B659" s="508" t="s">
        <v>2030</v>
      </c>
      <c r="C659" s="490">
        <v>-13.43</v>
      </c>
      <c r="D659" s="490">
        <v>130.33000000000001</v>
      </c>
      <c r="E659" s="492" t="s">
        <v>2074</v>
      </c>
      <c r="F659" s="492" t="s">
        <v>2074</v>
      </c>
      <c r="G659" s="492" t="s">
        <v>2074</v>
      </c>
      <c r="H659" s="490">
        <v>5.2</v>
      </c>
      <c r="I659" s="492" t="s">
        <v>2074</v>
      </c>
      <c r="J659" s="492" t="s">
        <v>2074</v>
      </c>
      <c r="K659" s="490">
        <v>1</v>
      </c>
      <c r="L659" s="490">
        <v>4</v>
      </c>
      <c r="M659" s="490">
        <v>3</v>
      </c>
      <c r="N659" s="522"/>
    </row>
    <row r="660" spans="1:14" s="523" customFormat="1" ht="15">
      <c r="A660" s="522"/>
      <c r="B660" s="508" t="s">
        <v>2109</v>
      </c>
      <c r="C660" s="490">
        <v>-12.38</v>
      </c>
      <c r="D660" s="490">
        <v>133.55000000000001</v>
      </c>
      <c r="E660" s="492" t="s">
        <v>2074</v>
      </c>
      <c r="F660" s="492" t="s">
        <v>2074</v>
      </c>
      <c r="G660" s="492" t="s">
        <v>2074</v>
      </c>
      <c r="H660" s="490">
        <f>8+1.3+16.9+0.7</f>
        <v>26.9</v>
      </c>
      <c r="I660" s="492" t="s">
        <v>2074</v>
      </c>
      <c r="J660" s="492" t="s">
        <v>2074</v>
      </c>
      <c r="K660" s="490">
        <v>1</v>
      </c>
      <c r="L660" s="490">
        <v>4</v>
      </c>
      <c r="M660" s="490">
        <v>1</v>
      </c>
      <c r="N660" s="522"/>
    </row>
    <row r="661" spans="1:14" s="523" customFormat="1" ht="15">
      <c r="A661" s="522"/>
      <c r="B661" s="508" t="s">
        <v>2109</v>
      </c>
      <c r="C661" s="490">
        <v>-12.38</v>
      </c>
      <c r="D661" s="490">
        <v>133.55000000000001</v>
      </c>
      <c r="E661" s="492" t="s">
        <v>2074</v>
      </c>
      <c r="F661" s="492" t="s">
        <v>2074</v>
      </c>
      <c r="G661" s="492" t="s">
        <v>2074</v>
      </c>
      <c r="H661" s="490">
        <f>7.7+1.2+16+0.6</f>
        <v>25.5</v>
      </c>
      <c r="I661" s="492" t="s">
        <v>2074</v>
      </c>
      <c r="J661" s="492" t="s">
        <v>2074</v>
      </c>
      <c r="K661" s="490">
        <v>1</v>
      </c>
      <c r="L661" s="490">
        <v>4</v>
      </c>
      <c r="M661" s="490">
        <v>1</v>
      </c>
      <c r="N661" s="522"/>
    </row>
    <row r="662" spans="1:14" s="523" customFormat="1" ht="15">
      <c r="A662" s="522"/>
      <c r="B662" s="508" t="s">
        <v>2109</v>
      </c>
      <c r="C662" s="490">
        <v>-12.38</v>
      </c>
      <c r="D662" s="490">
        <v>133.55000000000001</v>
      </c>
      <c r="E662" s="492" t="s">
        <v>2074</v>
      </c>
      <c r="F662" s="492" t="s">
        <v>2074</v>
      </c>
      <c r="G662" s="492" t="s">
        <v>2074</v>
      </c>
      <c r="H662" s="490">
        <f>7.1+1.2+15+0.6</f>
        <v>23.9</v>
      </c>
      <c r="I662" s="492" t="s">
        <v>2074</v>
      </c>
      <c r="J662" s="492" t="s">
        <v>2074</v>
      </c>
      <c r="K662" s="490">
        <v>1</v>
      </c>
      <c r="L662" s="490">
        <v>4</v>
      </c>
      <c r="M662" s="490">
        <v>1</v>
      </c>
      <c r="N662" s="522"/>
    </row>
    <row r="663" spans="1:14" s="523" customFormat="1" ht="15">
      <c r="A663" s="522"/>
      <c r="B663" s="508" t="s">
        <v>2109</v>
      </c>
      <c r="C663" s="490">
        <v>-12.38</v>
      </c>
      <c r="D663" s="490">
        <v>133.55000000000001</v>
      </c>
      <c r="E663" s="492" t="s">
        <v>2074</v>
      </c>
      <c r="F663" s="492" t="s">
        <v>2074</v>
      </c>
      <c r="G663" s="492" t="s">
        <v>2074</v>
      </c>
      <c r="H663" s="490">
        <f>6.4+1.1+13.7+0.6</f>
        <v>21.8</v>
      </c>
      <c r="I663" s="492" t="s">
        <v>2074</v>
      </c>
      <c r="J663" s="492" t="s">
        <v>2074</v>
      </c>
      <c r="K663" s="490">
        <v>1</v>
      </c>
      <c r="L663" s="490">
        <v>4</v>
      </c>
      <c r="M663" s="490">
        <v>1</v>
      </c>
      <c r="N663" s="522"/>
    </row>
    <row r="664" spans="1:14" s="523" customFormat="1" ht="15">
      <c r="A664" s="522"/>
      <c r="B664" s="508" t="s">
        <v>2109</v>
      </c>
      <c r="C664" s="490">
        <v>-12.38</v>
      </c>
      <c r="D664" s="490">
        <v>133.55000000000001</v>
      </c>
      <c r="E664" s="492" t="s">
        <v>2074</v>
      </c>
      <c r="F664" s="492" t="s">
        <v>2074</v>
      </c>
      <c r="G664" s="492" t="s">
        <v>2074</v>
      </c>
      <c r="H664" s="490">
        <f>5.5+0.9+11.8+0.6</f>
        <v>18.800000000000004</v>
      </c>
      <c r="I664" s="492" t="s">
        <v>2074</v>
      </c>
      <c r="J664" s="492" t="s">
        <v>2074</v>
      </c>
      <c r="K664" s="490">
        <v>1</v>
      </c>
      <c r="L664" s="490">
        <v>4</v>
      </c>
      <c r="M664" s="490">
        <v>1</v>
      </c>
      <c r="N664" s="522"/>
    </row>
    <row r="665" spans="1:14" s="523" customFormat="1" ht="15">
      <c r="A665" s="522"/>
      <c r="B665" s="508" t="s">
        <v>2109</v>
      </c>
      <c r="C665" s="490">
        <v>-12.38</v>
      </c>
      <c r="D665" s="490">
        <v>133.55000000000001</v>
      </c>
      <c r="E665" s="492" t="s">
        <v>2074</v>
      </c>
      <c r="F665" s="492" t="s">
        <v>2074</v>
      </c>
      <c r="G665" s="492" t="s">
        <v>2074</v>
      </c>
      <c r="H665" s="490">
        <f>6.1+1.5+9.3+0.2</f>
        <v>17.099999999999998</v>
      </c>
      <c r="I665" s="492" t="s">
        <v>2074</v>
      </c>
      <c r="J665" s="492" t="s">
        <v>2074</v>
      </c>
      <c r="K665" s="490">
        <v>1</v>
      </c>
      <c r="L665" s="490">
        <v>4</v>
      </c>
      <c r="M665" s="490">
        <v>1</v>
      </c>
      <c r="N665" s="522"/>
    </row>
    <row r="666" spans="1:14" s="523" customFormat="1" ht="15">
      <c r="A666" s="522"/>
      <c r="B666" s="508" t="s">
        <v>2109</v>
      </c>
      <c r="C666" s="490">
        <v>-12.38</v>
      </c>
      <c r="D666" s="490">
        <v>133.55000000000001</v>
      </c>
      <c r="E666" s="492" t="s">
        <v>2074</v>
      </c>
      <c r="F666" s="492" t="s">
        <v>2074</v>
      </c>
      <c r="G666" s="492" t="s">
        <v>2074</v>
      </c>
      <c r="H666" s="490">
        <f>5.8+1.5+8.6+0.3</f>
        <v>16.2</v>
      </c>
      <c r="I666" s="492" t="s">
        <v>2074</v>
      </c>
      <c r="J666" s="492" t="s">
        <v>2074</v>
      </c>
      <c r="K666" s="490">
        <v>1</v>
      </c>
      <c r="L666" s="490">
        <v>4</v>
      </c>
      <c r="M666" s="490">
        <v>1</v>
      </c>
      <c r="N666" s="522"/>
    </row>
    <row r="667" spans="1:14" s="523" customFormat="1" ht="15">
      <c r="A667" s="522"/>
      <c r="B667" s="508" t="s">
        <v>2109</v>
      </c>
      <c r="C667" s="490">
        <v>-12.38</v>
      </c>
      <c r="D667" s="490">
        <v>133.55000000000001</v>
      </c>
      <c r="E667" s="492" t="s">
        <v>2074</v>
      </c>
      <c r="F667" s="492" t="s">
        <v>2074</v>
      </c>
      <c r="G667" s="492" t="s">
        <v>2074</v>
      </c>
      <c r="H667" s="490">
        <f>5.4+1.4+7.8+0.5</f>
        <v>15.100000000000001</v>
      </c>
      <c r="I667" s="492" t="s">
        <v>2074</v>
      </c>
      <c r="J667" s="492" t="s">
        <v>2074</v>
      </c>
      <c r="K667" s="490">
        <v>1</v>
      </c>
      <c r="L667" s="490">
        <v>4</v>
      </c>
      <c r="M667" s="490">
        <v>1</v>
      </c>
      <c r="N667" s="522"/>
    </row>
    <row r="668" spans="1:14" s="523" customFormat="1" ht="15">
      <c r="A668" s="522"/>
      <c r="B668" s="508" t="s">
        <v>2109</v>
      </c>
      <c r="C668" s="490">
        <v>-12.38</v>
      </c>
      <c r="D668" s="490">
        <v>133.55000000000001</v>
      </c>
      <c r="E668" s="492" t="s">
        <v>2074</v>
      </c>
      <c r="F668" s="492" t="s">
        <v>2074</v>
      </c>
      <c r="G668" s="492" t="s">
        <v>2074</v>
      </c>
      <c r="H668" s="490">
        <f>3.8+0.7+8.7+0.5</f>
        <v>13.7</v>
      </c>
      <c r="I668" s="492" t="s">
        <v>2074</v>
      </c>
      <c r="J668" s="492" t="s">
        <v>2074</v>
      </c>
      <c r="K668" s="490">
        <v>1</v>
      </c>
      <c r="L668" s="490">
        <v>4</v>
      </c>
      <c r="M668" s="490">
        <v>1</v>
      </c>
      <c r="N668" s="522"/>
    </row>
    <row r="669" spans="1:14" s="523" customFormat="1" ht="15">
      <c r="A669" s="522"/>
      <c r="B669" s="508" t="s">
        <v>2109</v>
      </c>
      <c r="C669" s="490">
        <v>-12.38</v>
      </c>
      <c r="D669" s="490">
        <v>133.55000000000001</v>
      </c>
      <c r="E669" s="492" t="s">
        <v>2074</v>
      </c>
      <c r="F669" s="492" t="s">
        <v>2074</v>
      </c>
      <c r="G669" s="492" t="s">
        <v>2074</v>
      </c>
      <c r="H669" s="490">
        <f>5+1.3+6.7+0.6</f>
        <v>13.6</v>
      </c>
      <c r="I669" s="492" t="s">
        <v>2074</v>
      </c>
      <c r="J669" s="492" t="s">
        <v>2074</v>
      </c>
      <c r="K669" s="490">
        <v>1</v>
      </c>
      <c r="L669" s="490">
        <v>4</v>
      </c>
      <c r="M669" s="490">
        <v>1</v>
      </c>
      <c r="N669" s="522"/>
    </row>
    <row r="670" spans="1:14" s="523" customFormat="1" ht="15">
      <c r="A670" s="522"/>
      <c r="B670" s="508" t="s">
        <v>2109</v>
      </c>
      <c r="C670" s="490">
        <v>-12.38</v>
      </c>
      <c r="D670" s="490">
        <v>133.55000000000001</v>
      </c>
      <c r="E670" s="492" t="s">
        <v>2074</v>
      </c>
      <c r="F670" s="492" t="s">
        <v>2074</v>
      </c>
      <c r="G670" s="492" t="s">
        <v>2074</v>
      </c>
      <c r="H670" s="490">
        <f>5.4+0.6+5.4+0.8</f>
        <v>12.200000000000001</v>
      </c>
      <c r="I670" s="492" t="s">
        <v>2074</v>
      </c>
      <c r="J670" s="492" t="s">
        <v>2074</v>
      </c>
      <c r="K670" s="490">
        <v>1</v>
      </c>
      <c r="L670" s="490">
        <v>4</v>
      </c>
      <c r="M670" s="490">
        <v>1</v>
      </c>
      <c r="N670" s="522"/>
    </row>
    <row r="671" spans="1:14" s="523" customFormat="1" ht="15">
      <c r="A671" s="522"/>
      <c r="B671" s="508" t="s">
        <v>2109</v>
      </c>
      <c r="C671" s="490">
        <v>-12.38</v>
      </c>
      <c r="D671" s="490">
        <v>133.55000000000001</v>
      </c>
      <c r="E671" s="492" t="s">
        <v>2074</v>
      </c>
      <c r="F671" s="492" t="s">
        <v>2074</v>
      </c>
      <c r="G671" s="492" t="s">
        <v>2074</v>
      </c>
      <c r="H671" s="490">
        <f>4.4+1.2+5.2+0.8</f>
        <v>11.600000000000001</v>
      </c>
      <c r="I671" s="492" t="s">
        <v>2074</v>
      </c>
      <c r="J671" s="492" t="s">
        <v>2074</v>
      </c>
      <c r="K671" s="490">
        <v>1</v>
      </c>
      <c r="L671" s="490">
        <v>4</v>
      </c>
      <c r="M671" s="490">
        <v>1</v>
      </c>
      <c r="N671" s="522"/>
    </row>
    <row r="672" spans="1:14" s="523" customFormat="1" ht="15">
      <c r="A672" s="522"/>
      <c r="B672" s="508" t="s">
        <v>2109</v>
      </c>
      <c r="C672" s="490">
        <v>-12.38</v>
      </c>
      <c r="D672" s="490">
        <v>133.55000000000001</v>
      </c>
      <c r="E672" s="492" t="s">
        <v>2074</v>
      </c>
      <c r="F672" s="492" t="s">
        <v>2074</v>
      </c>
      <c r="G672" s="492" t="s">
        <v>2074</v>
      </c>
      <c r="H672" s="490">
        <f>4.9+0.6+5+0.8</f>
        <v>11.3</v>
      </c>
      <c r="I672" s="492" t="s">
        <v>2074</v>
      </c>
      <c r="J672" s="492" t="s">
        <v>2074</v>
      </c>
      <c r="K672" s="490">
        <v>1</v>
      </c>
      <c r="L672" s="490">
        <v>4</v>
      </c>
      <c r="M672" s="490">
        <v>1</v>
      </c>
      <c r="N672" s="522"/>
    </row>
    <row r="673" spans="1:14" s="523" customFormat="1" ht="15">
      <c r="A673" s="522"/>
      <c r="B673" s="508" t="s">
        <v>2109</v>
      </c>
      <c r="C673" s="490">
        <v>-12.38</v>
      </c>
      <c r="D673" s="490">
        <v>133.55000000000001</v>
      </c>
      <c r="E673" s="492" t="s">
        <v>2074</v>
      </c>
      <c r="F673" s="492" t="s">
        <v>2074</v>
      </c>
      <c r="G673" s="492" t="s">
        <v>2074</v>
      </c>
      <c r="H673" s="490">
        <f>4.4+0.5+4.4+0.7</f>
        <v>10</v>
      </c>
      <c r="I673" s="492" t="s">
        <v>2074</v>
      </c>
      <c r="J673" s="492" t="s">
        <v>2074</v>
      </c>
      <c r="K673" s="490">
        <v>1</v>
      </c>
      <c r="L673" s="490">
        <v>4</v>
      </c>
      <c r="M673" s="490">
        <v>1</v>
      </c>
      <c r="N673" s="522"/>
    </row>
    <row r="674" spans="1:14" s="523" customFormat="1" ht="15">
      <c r="A674" s="522"/>
      <c r="B674" s="508" t="s">
        <v>2109</v>
      </c>
      <c r="C674" s="490">
        <v>-12.38</v>
      </c>
      <c r="D674" s="490">
        <v>133.55000000000001</v>
      </c>
      <c r="E674" s="492" t="s">
        <v>2074</v>
      </c>
      <c r="F674" s="492" t="s">
        <v>2074</v>
      </c>
      <c r="G674" s="492" t="s">
        <v>2074</v>
      </c>
      <c r="H674" s="490">
        <f>3.7+0.4+3.7+0.6</f>
        <v>8.4</v>
      </c>
      <c r="I674" s="492" t="s">
        <v>2074</v>
      </c>
      <c r="J674" s="492" t="s">
        <v>2074</v>
      </c>
      <c r="K674" s="490">
        <v>1</v>
      </c>
      <c r="L674" s="490">
        <v>4</v>
      </c>
      <c r="M674" s="490">
        <v>1</v>
      </c>
      <c r="N674" s="522"/>
    </row>
    <row r="675" spans="1:14" s="523" customFormat="1" ht="15">
      <c r="A675" s="522"/>
      <c r="B675" s="508" t="s">
        <v>2109</v>
      </c>
      <c r="C675" s="490">
        <v>-12.38</v>
      </c>
      <c r="D675" s="490">
        <v>133.55000000000001</v>
      </c>
      <c r="E675" s="492" t="s">
        <v>2074</v>
      </c>
      <c r="F675" s="492" t="s">
        <v>2074</v>
      </c>
      <c r="G675" s="492" t="s">
        <v>2074</v>
      </c>
      <c r="H675" s="490">
        <f>3.4+1+2.5+1.2</f>
        <v>8.1</v>
      </c>
      <c r="I675" s="492" t="s">
        <v>2074</v>
      </c>
      <c r="J675" s="492" t="s">
        <v>2074</v>
      </c>
      <c r="K675" s="490">
        <v>1</v>
      </c>
      <c r="L675" s="490">
        <v>4</v>
      </c>
      <c r="M675" s="490">
        <v>1</v>
      </c>
      <c r="N675" s="522"/>
    </row>
    <row r="676" spans="1:14" s="523" customFormat="1" ht="15">
      <c r="A676" s="522"/>
      <c r="B676" s="508" t="s">
        <v>2109</v>
      </c>
      <c r="C676" s="490">
        <v>-12.38</v>
      </c>
      <c r="D676" s="490">
        <v>133.55000000000001</v>
      </c>
      <c r="E676" s="492" t="s">
        <v>2074</v>
      </c>
      <c r="F676" s="492" t="s">
        <v>2074</v>
      </c>
      <c r="G676" s="492" t="s">
        <v>2074</v>
      </c>
      <c r="H676" s="490">
        <f>2.7+0.3+2.7+0.5</f>
        <v>6.2</v>
      </c>
      <c r="I676" s="492" t="s">
        <v>2074</v>
      </c>
      <c r="J676" s="492" t="s">
        <v>2074</v>
      </c>
      <c r="K676" s="490">
        <v>1</v>
      </c>
      <c r="L676" s="490">
        <v>4</v>
      </c>
      <c r="M676" s="490">
        <v>1</v>
      </c>
      <c r="N676" s="522"/>
    </row>
    <row r="677" spans="1:14" s="523" customFormat="1" ht="15">
      <c r="A677" s="522"/>
      <c r="B677" s="508" t="s">
        <v>2109</v>
      </c>
      <c r="C677" s="490">
        <v>-12.38</v>
      </c>
      <c r="D677" s="490">
        <v>133.55000000000001</v>
      </c>
      <c r="E677" s="492" t="s">
        <v>2074</v>
      </c>
      <c r="F677" s="492" t="s">
        <v>2074</v>
      </c>
      <c r="G677" s="492" t="s">
        <v>2074</v>
      </c>
      <c r="H677" s="490">
        <f>1+0.1+1.1+0.3</f>
        <v>2.5</v>
      </c>
      <c r="I677" s="492" t="s">
        <v>2074</v>
      </c>
      <c r="J677" s="492" t="s">
        <v>2074</v>
      </c>
      <c r="K677" s="490">
        <v>1</v>
      </c>
      <c r="L677" s="490">
        <v>4</v>
      </c>
      <c r="M677" s="490">
        <v>1</v>
      </c>
      <c r="N677" s="522"/>
    </row>
    <row r="678" spans="1:14" s="523" customFormat="1" ht="15">
      <c r="A678" s="522"/>
      <c r="B678" s="508" t="s">
        <v>2109</v>
      </c>
      <c r="C678" s="490">
        <v>-12.38</v>
      </c>
      <c r="D678" s="490">
        <v>133.55000000000001</v>
      </c>
      <c r="E678" s="492" t="s">
        <v>2074</v>
      </c>
      <c r="F678" s="492" t="s">
        <v>2074</v>
      </c>
      <c r="G678" s="492" t="s">
        <v>2074</v>
      </c>
      <c r="H678" s="490">
        <v>14.6</v>
      </c>
      <c r="I678" s="492" t="s">
        <v>2074</v>
      </c>
      <c r="J678" s="492" t="s">
        <v>2074</v>
      </c>
      <c r="K678" s="490">
        <v>1</v>
      </c>
      <c r="L678" s="490">
        <v>4</v>
      </c>
      <c r="M678" s="490">
        <v>2</v>
      </c>
      <c r="N678" s="522"/>
    </row>
    <row r="679" spans="1:14" s="523" customFormat="1" ht="15">
      <c r="A679" s="522"/>
      <c r="B679" s="508" t="s">
        <v>2031</v>
      </c>
      <c r="C679" s="490">
        <v>-16.55</v>
      </c>
      <c r="D679" s="490">
        <v>145.46</v>
      </c>
      <c r="E679" s="492" t="s">
        <v>2074</v>
      </c>
      <c r="F679" s="492" t="s">
        <v>2074</v>
      </c>
      <c r="G679" s="492" t="s">
        <v>2074</v>
      </c>
      <c r="H679" s="490">
        <v>17</v>
      </c>
      <c r="I679" s="492" t="s">
        <v>2074</v>
      </c>
      <c r="J679" s="492" t="s">
        <v>2074</v>
      </c>
      <c r="K679" s="490">
        <v>1</v>
      </c>
      <c r="L679" s="490">
        <v>4</v>
      </c>
      <c r="M679" s="490">
        <v>1</v>
      </c>
      <c r="N679" s="522"/>
    </row>
    <row r="680" spans="1:14" s="523" customFormat="1" ht="15">
      <c r="A680" s="522"/>
      <c r="B680" s="508" t="s">
        <v>2031</v>
      </c>
      <c r="C680" s="490">
        <v>-16.55</v>
      </c>
      <c r="D680" s="490">
        <v>145.46</v>
      </c>
      <c r="E680" s="492" t="s">
        <v>2074</v>
      </c>
      <c r="F680" s="492" t="s">
        <v>2074</v>
      </c>
      <c r="G680" s="492" t="s">
        <v>2074</v>
      </c>
      <c r="H680" s="490">
        <v>15</v>
      </c>
      <c r="I680" s="492" t="s">
        <v>2074</v>
      </c>
      <c r="J680" s="492" t="s">
        <v>2074</v>
      </c>
      <c r="K680" s="490">
        <v>1</v>
      </c>
      <c r="L680" s="490">
        <v>4</v>
      </c>
      <c r="M680" s="490">
        <v>1</v>
      </c>
      <c r="N680" s="522"/>
    </row>
    <row r="681" spans="1:14" s="523" customFormat="1" ht="15">
      <c r="A681" s="522"/>
      <c r="B681" s="508" t="s">
        <v>2031</v>
      </c>
      <c r="C681" s="490">
        <v>-16.55</v>
      </c>
      <c r="D681" s="490">
        <v>145.46</v>
      </c>
      <c r="E681" s="492" t="s">
        <v>2074</v>
      </c>
      <c r="F681" s="492" t="s">
        <v>2074</v>
      </c>
      <c r="G681" s="492" t="s">
        <v>2074</v>
      </c>
      <c r="H681" s="490">
        <v>13</v>
      </c>
      <c r="I681" s="492" t="s">
        <v>2074</v>
      </c>
      <c r="J681" s="492" t="s">
        <v>2074</v>
      </c>
      <c r="K681" s="490">
        <v>1</v>
      </c>
      <c r="L681" s="490">
        <v>4</v>
      </c>
      <c r="M681" s="490">
        <v>1</v>
      </c>
      <c r="N681" s="522"/>
    </row>
    <row r="682" spans="1:14" s="523" customFormat="1" ht="15">
      <c r="A682" s="522"/>
      <c r="B682" s="508" t="s">
        <v>2031</v>
      </c>
      <c r="C682" s="490">
        <v>-16.55</v>
      </c>
      <c r="D682" s="490">
        <v>145.46</v>
      </c>
      <c r="E682" s="492" t="s">
        <v>2074</v>
      </c>
      <c r="F682" s="492" t="s">
        <v>2074</v>
      </c>
      <c r="G682" s="492" t="s">
        <v>2074</v>
      </c>
      <c r="H682" s="490">
        <v>5</v>
      </c>
      <c r="I682" s="492" t="s">
        <v>2074</v>
      </c>
      <c r="J682" s="492" t="s">
        <v>2074</v>
      </c>
      <c r="K682" s="490">
        <v>1</v>
      </c>
      <c r="L682" s="490">
        <v>4</v>
      </c>
      <c r="M682" s="490">
        <v>1</v>
      </c>
      <c r="N682" s="522"/>
    </row>
    <row r="683" spans="1:14" s="523" customFormat="1" ht="15">
      <c r="A683" s="522"/>
      <c r="B683" s="508" t="s">
        <v>2031</v>
      </c>
      <c r="C683" s="490">
        <v>-16.55</v>
      </c>
      <c r="D683" s="490">
        <v>145.46</v>
      </c>
      <c r="E683" s="492" t="s">
        <v>2074</v>
      </c>
      <c r="F683" s="492" t="s">
        <v>2074</v>
      </c>
      <c r="G683" s="492" t="s">
        <v>2074</v>
      </c>
      <c r="H683" s="490">
        <v>12.5</v>
      </c>
      <c r="I683" s="492" t="s">
        <v>2074</v>
      </c>
      <c r="J683" s="492" t="s">
        <v>2074</v>
      </c>
      <c r="K683" s="490">
        <v>1</v>
      </c>
      <c r="L683" s="490">
        <v>4</v>
      </c>
      <c r="M683" s="490">
        <v>2</v>
      </c>
      <c r="N683" s="522"/>
    </row>
    <row r="684" spans="1:14" s="523" customFormat="1" ht="15">
      <c r="A684" s="522"/>
      <c r="B684" s="508" t="s">
        <v>2032</v>
      </c>
      <c r="C684" s="490">
        <v>-16.149999999999999</v>
      </c>
      <c r="D684" s="490">
        <v>145.25</v>
      </c>
      <c r="E684" s="492" t="s">
        <v>2074</v>
      </c>
      <c r="F684" s="492" t="s">
        <v>2074</v>
      </c>
      <c r="G684" s="492" t="s">
        <v>2074</v>
      </c>
      <c r="H684" s="490">
        <v>4.8</v>
      </c>
      <c r="I684" s="492" t="s">
        <v>2074</v>
      </c>
      <c r="J684" s="492" t="s">
        <v>2074</v>
      </c>
      <c r="K684" s="490">
        <v>1</v>
      </c>
      <c r="L684" s="490">
        <v>4</v>
      </c>
      <c r="M684" s="490">
        <v>1</v>
      </c>
      <c r="N684" s="522"/>
    </row>
    <row r="685" spans="1:14" s="523" customFormat="1" ht="15">
      <c r="A685" s="522"/>
      <c r="B685" s="508" t="s">
        <v>2032</v>
      </c>
      <c r="C685" s="490">
        <v>-16.149999999999999</v>
      </c>
      <c r="D685" s="490">
        <v>145.25</v>
      </c>
      <c r="E685" s="492" t="s">
        <v>2074</v>
      </c>
      <c r="F685" s="492" t="s">
        <v>2074</v>
      </c>
      <c r="G685" s="492" t="s">
        <v>2074</v>
      </c>
      <c r="H685" s="497">
        <f>AVERAGE(3.61,3.78,7.48,2.9,3.44,3.65,4.28,4.45)</f>
        <v>4.1987500000000004</v>
      </c>
      <c r="I685" s="492" t="s">
        <v>2074</v>
      </c>
      <c r="J685" s="492" t="s">
        <v>2074</v>
      </c>
      <c r="K685" s="490">
        <v>1</v>
      </c>
      <c r="L685" s="490">
        <v>4</v>
      </c>
      <c r="M685" s="490">
        <v>1</v>
      </c>
      <c r="N685" s="522"/>
    </row>
    <row r="686" spans="1:14" s="523" customFormat="1" ht="15">
      <c r="A686" s="522"/>
      <c r="B686" s="508" t="s">
        <v>2032</v>
      </c>
      <c r="C686" s="490">
        <v>-16.149999999999999</v>
      </c>
      <c r="D686" s="490">
        <v>145.25</v>
      </c>
      <c r="E686" s="492" t="s">
        <v>2074</v>
      </c>
      <c r="F686" s="492" t="s">
        <v>2074</v>
      </c>
      <c r="G686" s="492" t="s">
        <v>2074</v>
      </c>
      <c r="H686" s="497">
        <f>AVERAGE(6.97,3.15,5.88,1.68,2.66,0.67,1.93,2.35,8.23)</f>
        <v>3.7244444444444449</v>
      </c>
      <c r="I686" s="492" t="s">
        <v>2074</v>
      </c>
      <c r="J686" s="492" t="s">
        <v>2074</v>
      </c>
      <c r="K686" s="490">
        <v>1</v>
      </c>
      <c r="L686" s="490">
        <v>4</v>
      </c>
      <c r="M686" s="490">
        <v>1</v>
      </c>
      <c r="N686" s="522"/>
    </row>
    <row r="687" spans="1:14" s="523" customFormat="1" ht="15">
      <c r="A687" s="522"/>
      <c r="B687" s="508" t="s">
        <v>2032</v>
      </c>
      <c r="C687" s="490">
        <v>-16.149999999999999</v>
      </c>
      <c r="D687" s="490">
        <v>145.25</v>
      </c>
      <c r="E687" s="492" t="s">
        <v>2074</v>
      </c>
      <c r="F687" s="492" t="s">
        <v>2074</v>
      </c>
      <c r="G687" s="492" t="s">
        <v>2074</v>
      </c>
      <c r="H687" s="497">
        <f>AVERAGE(4.37,3.61,3.95,4.12,2.02,3.3,3.53)</f>
        <v>3.5571428571428574</v>
      </c>
      <c r="I687" s="492" t="s">
        <v>2074</v>
      </c>
      <c r="J687" s="492" t="s">
        <v>2074</v>
      </c>
      <c r="K687" s="490">
        <v>1</v>
      </c>
      <c r="L687" s="490">
        <v>4</v>
      </c>
      <c r="M687" s="490">
        <v>1</v>
      </c>
      <c r="N687" s="522"/>
    </row>
    <row r="688" spans="1:14" s="523" customFormat="1" ht="15">
      <c r="A688" s="522"/>
      <c r="B688" s="508" t="s">
        <v>2032</v>
      </c>
      <c r="C688" s="490">
        <v>-16.149999999999999</v>
      </c>
      <c r="D688" s="490">
        <v>145.25</v>
      </c>
      <c r="E688" s="492" t="s">
        <v>2074</v>
      </c>
      <c r="F688" s="492" t="s">
        <v>2074</v>
      </c>
      <c r="G688" s="492" t="s">
        <v>2074</v>
      </c>
      <c r="H688" s="497">
        <f>AVERAGE(1.43,3.36,1.93,3.4,4.75,2.87,2.69,2.27)</f>
        <v>2.8374999999999999</v>
      </c>
      <c r="I688" s="492" t="s">
        <v>2074</v>
      </c>
      <c r="J688" s="492" t="s">
        <v>2074</v>
      </c>
      <c r="K688" s="490">
        <v>1</v>
      </c>
      <c r="L688" s="490">
        <v>4</v>
      </c>
      <c r="M688" s="490">
        <v>1</v>
      </c>
      <c r="N688" s="522"/>
    </row>
    <row r="689" spans="1:14" s="523" customFormat="1" ht="15">
      <c r="A689" s="522"/>
      <c r="B689" s="508" t="s">
        <v>2032</v>
      </c>
      <c r="C689" s="490">
        <v>-16.149999999999999</v>
      </c>
      <c r="D689" s="490">
        <v>145.25</v>
      </c>
      <c r="E689" s="492" t="s">
        <v>2074</v>
      </c>
      <c r="F689" s="492" t="s">
        <v>2074</v>
      </c>
      <c r="G689" s="492" t="s">
        <v>2074</v>
      </c>
      <c r="H689" s="497">
        <f>AVERAGE(H684:H688)</f>
        <v>3.8235674603174603</v>
      </c>
      <c r="I689" s="492" t="s">
        <v>2074</v>
      </c>
      <c r="J689" s="492" t="s">
        <v>2074</v>
      </c>
      <c r="K689" s="490">
        <v>1</v>
      </c>
      <c r="L689" s="490">
        <v>4</v>
      </c>
      <c r="M689" s="490">
        <v>2</v>
      </c>
      <c r="N689" s="522"/>
    </row>
    <row r="690" spans="1:14" s="523" customFormat="1" ht="15">
      <c r="A690" s="522"/>
      <c r="B690" s="508" t="s">
        <v>2033</v>
      </c>
      <c r="C690" s="490">
        <v>-12.42</v>
      </c>
      <c r="D690" s="490">
        <v>130.59</v>
      </c>
      <c r="E690" s="492" t="s">
        <v>2074</v>
      </c>
      <c r="F690" s="492" t="s">
        <v>2074</v>
      </c>
      <c r="G690" s="492" t="s">
        <v>2074</v>
      </c>
      <c r="H690" s="490">
        <v>5</v>
      </c>
      <c r="I690" s="492" t="s">
        <v>2074</v>
      </c>
      <c r="J690" s="492" t="s">
        <v>2074</v>
      </c>
      <c r="K690" s="490">
        <v>1</v>
      </c>
      <c r="L690" s="490">
        <v>4</v>
      </c>
      <c r="M690" s="490">
        <v>3</v>
      </c>
      <c r="N690" s="522"/>
    </row>
    <row r="691" spans="1:14" s="523" customFormat="1" ht="15">
      <c r="A691" s="522"/>
      <c r="B691" s="508" t="s">
        <v>2034</v>
      </c>
      <c r="C691" s="490">
        <v>-12.01</v>
      </c>
      <c r="D691" s="490">
        <v>134.11000000000001</v>
      </c>
      <c r="E691" s="492" t="s">
        <v>2074</v>
      </c>
      <c r="F691" s="492" t="s">
        <v>2074</v>
      </c>
      <c r="G691" s="492" t="s">
        <v>2074</v>
      </c>
      <c r="H691" s="491">
        <v>4.5999999999999996</v>
      </c>
      <c r="I691" s="492" t="s">
        <v>2074</v>
      </c>
      <c r="J691" s="492" t="s">
        <v>2074</v>
      </c>
      <c r="K691" s="490">
        <v>1</v>
      </c>
      <c r="L691" s="490">
        <v>4</v>
      </c>
      <c r="M691" s="490">
        <v>3</v>
      </c>
      <c r="N691" s="522"/>
    </row>
  </sheetData>
  <dataConsolidate/>
  <phoneticPr fontId="17" type="noConversion"/>
  <pageMargins left="0.75" right="0.75" top="1" bottom="1" header="0.5" footer="0.5"/>
  <pageSetup paperSize="9" orientation="portrait" horizontalDpi="4294967292" verticalDpi="4294967292"/>
  <ignoredErrors>
    <ignoredError sqref="H19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37"/>
  <sheetViews>
    <sheetView workbookViewId="0">
      <pane xSplit="9" ySplit="1" topLeftCell="J537" activePane="bottomRight" state="frozen"/>
      <selection pane="topRight" activeCell="J1" sqref="J1"/>
      <selection pane="bottomLeft" activeCell="A2" sqref="A2"/>
      <selection pane="bottomRight" activeCell="J523" sqref="J523:O527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style="4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4" s="7" customFormat="1" ht="32" customHeight="1">
      <c r="A1" s="17" t="s">
        <v>807</v>
      </c>
      <c r="B1" s="17" t="s">
        <v>808</v>
      </c>
      <c r="C1" s="17" t="s">
        <v>809</v>
      </c>
      <c r="D1" s="17" t="s">
        <v>810</v>
      </c>
      <c r="E1" s="419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>
      <c r="A2" s="19" t="s">
        <v>41</v>
      </c>
      <c r="B2" s="20" t="s">
        <v>1346</v>
      </c>
      <c r="C2" s="20" t="s">
        <v>1347</v>
      </c>
      <c r="D2" s="21" t="s">
        <v>1653</v>
      </c>
      <c r="E2" s="22">
        <v>1992</v>
      </c>
      <c r="F2" s="22">
        <v>8</v>
      </c>
      <c r="G2" s="22">
        <v>6</v>
      </c>
      <c r="H2" s="19" t="s">
        <v>1550</v>
      </c>
      <c r="I2" s="19" t="s">
        <v>544</v>
      </c>
      <c r="J2" s="22">
        <v>1.802</v>
      </c>
      <c r="K2" s="22">
        <v>0.223</v>
      </c>
      <c r="L2" s="22">
        <v>92</v>
      </c>
      <c r="M2" s="22">
        <v>5</v>
      </c>
      <c r="N2" s="22">
        <f>J2*(L2/100)</f>
        <v>1.6578400000000002</v>
      </c>
      <c r="O2" s="22" t="s">
        <v>986</v>
      </c>
      <c r="P2" s="21" t="s">
        <v>1652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</row>
    <row r="3" spans="1:124">
      <c r="A3" s="19"/>
      <c r="B3" s="20"/>
      <c r="C3" s="20"/>
      <c r="D3" s="21"/>
      <c r="E3" s="22"/>
      <c r="F3" s="22"/>
      <c r="G3" s="22"/>
      <c r="H3" s="19"/>
      <c r="I3" s="19" t="s">
        <v>1597</v>
      </c>
      <c r="J3" s="22">
        <v>1.8180000000000001</v>
      </c>
      <c r="K3" s="22">
        <v>0.25900000000000001</v>
      </c>
      <c r="L3" s="22">
        <v>100</v>
      </c>
      <c r="M3" s="22">
        <v>0</v>
      </c>
      <c r="N3" s="22">
        <f>J3*(L3/100)</f>
        <v>1.8180000000000001</v>
      </c>
      <c r="O3" s="22" t="s">
        <v>986</v>
      </c>
      <c r="P3" s="21" t="s">
        <v>1652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</row>
    <row r="4" spans="1:124">
      <c r="A4" s="19"/>
      <c r="B4" s="20"/>
      <c r="C4" s="20"/>
      <c r="D4" s="21"/>
      <c r="E4" s="22"/>
      <c r="F4" s="22"/>
      <c r="G4" s="22"/>
      <c r="H4" s="19"/>
      <c r="I4" s="19" t="s">
        <v>1598</v>
      </c>
      <c r="J4" s="22" t="s">
        <v>986</v>
      </c>
      <c r="K4" s="22" t="s">
        <v>986</v>
      </c>
      <c r="L4" s="22" t="s">
        <v>986</v>
      </c>
      <c r="M4" s="22" t="s">
        <v>986</v>
      </c>
      <c r="N4" s="22" t="s">
        <v>986</v>
      </c>
      <c r="O4" s="22" t="s">
        <v>986</v>
      </c>
      <c r="P4" s="21" t="s">
        <v>1652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</row>
    <row r="5" spans="1:124">
      <c r="A5" s="19"/>
      <c r="B5" s="20"/>
      <c r="C5" s="20"/>
      <c r="D5" s="21"/>
      <c r="E5" s="22"/>
      <c r="F5" s="22"/>
      <c r="G5" s="22"/>
      <c r="H5" s="19"/>
      <c r="I5" s="19" t="s">
        <v>1662</v>
      </c>
      <c r="J5" s="22">
        <v>1.8180000000000001</v>
      </c>
      <c r="K5" s="22">
        <v>0.25900000000000001</v>
      </c>
      <c r="L5" s="22">
        <v>100</v>
      </c>
      <c r="M5" s="22">
        <v>0</v>
      </c>
      <c r="N5" s="22">
        <f>J5*(L5/100)</f>
        <v>1.8180000000000001</v>
      </c>
      <c r="O5" s="22" t="s">
        <v>986</v>
      </c>
      <c r="P5" s="21" t="s">
        <v>1652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</row>
    <row r="6" spans="1:124">
      <c r="A6" s="19"/>
      <c r="B6" s="20"/>
      <c r="C6" s="20"/>
      <c r="D6" s="21"/>
      <c r="E6" s="22"/>
      <c r="F6" s="22"/>
      <c r="G6" s="22"/>
      <c r="H6" s="19"/>
      <c r="I6" s="19" t="s">
        <v>1261</v>
      </c>
      <c r="J6" s="22" t="s">
        <v>986</v>
      </c>
      <c r="K6" s="22" t="s">
        <v>986</v>
      </c>
      <c r="L6" s="22" t="s">
        <v>986</v>
      </c>
      <c r="M6" s="22" t="s">
        <v>986</v>
      </c>
      <c r="N6" s="22" t="s">
        <v>986</v>
      </c>
      <c r="O6" s="22" t="s">
        <v>986</v>
      </c>
      <c r="P6" s="21" t="s">
        <v>1652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</row>
    <row r="7" spans="1:124">
      <c r="A7" s="19"/>
      <c r="B7" s="20"/>
      <c r="C7" s="20"/>
      <c r="D7" s="21"/>
      <c r="E7" s="22"/>
      <c r="F7" s="22"/>
      <c r="G7" s="22"/>
      <c r="H7" s="19"/>
      <c r="I7" s="19" t="s">
        <v>1795</v>
      </c>
      <c r="J7" s="22">
        <v>5.0000000000000001E-3</v>
      </c>
      <c r="K7" s="22">
        <v>3.0000000000000001E-3</v>
      </c>
      <c r="L7" s="22">
        <v>86</v>
      </c>
      <c r="M7" s="22">
        <v>16</v>
      </c>
      <c r="N7" s="22">
        <f t="shared" ref="N7:N15" si="0">J7*(L7/100)</f>
        <v>4.3E-3</v>
      </c>
      <c r="O7" s="22" t="s">
        <v>986</v>
      </c>
      <c r="P7" s="21" t="s">
        <v>1652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</row>
    <row r="8" spans="1:124">
      <c r="A8" s="19"/>
      <c r="B8" s="20"/>
      <c r="C8" s="20"/>
      <c r="D8" s="21"/>
      <c r="E8" s="22"/>
      <c r="F8" s="22"/>
      <c r="G8" s="22"/>
      <c r="H8" s="19"/>
      <c r="I8" s="19" t="s">
        <v>1785</v>
      </c>
      <c r="J8" s="22">
        <v>0.19400000000000001</v>
      </c>
      <c r="K8" s="22">
        <v>0.04</v>
      </c>
      <c r="L8" s="22">
        <v>66</v>
      </c>
      <c r="M8" s="22">
        <v>10</v>
      </c>
      <c r="N8" s="22">
        <f t="shared" si="0"/>
        <v>0.12804000000000001</v>
      </c>
      <c r="O8" s="22" t="s">
        <v>986</v>
      </c>
      <c r="P8" s="21" t="s">
        <v>1652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</row>
    <row r="9" spans="1:124">
      <c r="A9" s="19"/>
      <c r="B9" s="20"/>
      <c r="C9" s="20"/>
      <c r="D9" s="21"/>
      <c r="E9" s="22"/>
      <c r="F9" s="22"/>
      <c r="G9" s="22"/>
      <c r="H9" s="19"/>
      <c r="I9" s="19" t="s">
        <v>1359</v>
      </c>
      <c r="J9" s="22">
        <v>0.50700000000000001</v>
      </c>
      <c r="K9" s="22">
        <v>0.11700000000000001</v>
      </c>
      <c r="L9" s="22">
        <v>52</v>
      </c>
      <c r="M9" s="22">
        <v>9</v>
      </c>
      <c r="N9" s="22">
        <f t="shared" si="0"/>
        <v>0.26363999999999999</v>
      </c>
      <c r="O9" s="22" t="s">
        <v>986</v>
      </c>
      <c r="P9" s="21" t="s">
        <v>1652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</row>
    <row r="10" spans="1:124">
      <c r="A10" s="19"/>
      <c r="B10" s="20"/>
      <c r="C10" s="20"/>
      <c r="D10" s="21"/>
      <c r="E10" s="22"/>
      <c r="F10" s="22"/>
      <c r="G10" s="22"/>
      <c r="H10" s="19"/>
      <c r="I10" s="19" t="s">
        <v>1687</v>
      </c>
      <c r="J10" s="22">
        <v>0.182</v>
      </c>
      <c r="K10" s="22">
        <v>7.2999999999999995E-2</v>
      </c>
      <c r="L10" s="22">
        <v>81</v>
      </c>
      <c r="M10" s="22">
        <v>13</v>
      </c>
      <c r="N10" s="22">
        <f t="shared" si="0"/>
        <v>0.14742</v>
      </c>
      <c r="O10" s="22" t="s">
        <v>986</v>
      </c>
      <c r="P10" s="21" t="s">
        <v>1652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</row>
    <row r="11" spans="1:124">
      <c r="A11" s="19"/>
      <c r="B11" s="20"/>
      <c r="C11" s="20"/>
      <c r="D11" s="21"/>
      <c r="E11" s="22"/>
      <c r="F11" s="22"/>
      <c r="G11" s="22"/>
      <c r="H11" s="19"/>
      <c r="I11" s="19" t="s">
        <v>1688</v>
      </c>
      <c r="J11" s="22">
        <v>0.23400000000000001</v>
      </c>
      <c r="K11" s="22">
        <v>0.23400000000000001</v>
      </c>
      <c r="L11" s="22">
        <v>0</v>
      </c>
      <c r="M11" s="22">
        <v>0</v>
      </c>
      <c r="N11" s="22">
        <f t="shared" si="0"/>
        <v>0</v>
      </c>
      <c r="O11" s="22" t="s">
        <v>986</v>
      </c>
      <c r="P11" s="21" t="s">
        <v>1652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</row>
    <row r="12" spans="1:124">
      <c r="A12" s="19"/>
      <c r="B12" s="20"/>
      <c r="C12" s="20"/>
      <c r="D12" s="21"/>
      <c r="E12" s="22"/>
      <c r="F12" s="22"/>
      <c r="G12" s="22"/>
      <c r="H12" s="19"/>
      <c r="I12" s="19" t="s">
        <v>1264</v>
      </c>
      <c r="J12" s="22">
        <v>1.117</v>
      </c>
      <c r="K12" s="22">
        <v>0.39500000000000002</v>
      </c>
      <c r="L12" s="22">
        <v>60</v>
      </c>
      <c r="M12" s="22">
        <v>8</v>
      </c>
      <c r="N12" s="22">
        <f t="shared" si="0"/>
        <v>0.67020000000000002</v>
      </c>
      <c r="O12" s="22" t="s">
        <v>986</v>
      </c>
      <c r="P12" s="21" t="s">
        <v>1652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</row>
    <row r="13" spans="1:124">
      <c r="A13" s="19"/>
      <c r="B13" s="20"/>
      <c r="C13" s="20"/>
      <c r="D13" s="21"/>
      <c r="E13" s="22"/>
      <c r="F13" s="22"/>
      <c r="G13" s="22"/>
      <c r="H13" s="19"/>
      <c r="I13" s="19" t="s">
        <v>485</v>
      </c>
      <c r="J13" s="22">
        <v>4.7779999999999996</v>
      </c>
      <c r="K13" s="22">
        <v>0.48599999999999999</v>
      </c>
      <c r="L13" s="22">
        <v>87</v>
      </c>
      <c r="M13" s="22">
        <v>3</v>
      </c>
      <c r="N13" s="22">
        <f t="shared" si="0"/>
        <v>4.15686</v>
      </c>
      <c r="O13" s="22" t="s">
        <v>986</v>
      </c>
      <c r="P13" s="21" t="s">
        <v>1652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</row>
    <row r="14" spans="1:124" ht="15">
      <c r="A14" s="19" t="s">
        <v>41</v>
      </c>
      <c r="B14" s="20" t="s">
        <v>1346</v>
      </c>
      <c r="C14" s="20" t="s">
        <v>1347</v>
      </c>
      <c r="D14" s="21" t="s">
        <v>1797</v>
      </c>
      <c r="E14" s="75">
        <v>1992</v>
      </c>
      <c r="F14" s="22">
        <v>8</v>
      </c>
      <c r="G14" s="22">
        <v>7</v>
      </c>
      <c r="H14" s="19" t="s">
        <v>1550</v>
      </c>
      <c r="I14" s="19" t="s">
        <v>544</v>
      </c>
      <c r="J14" s="22">
        <v>1.2290000000000001</v>
      </c>
      <c r="K14" s="22">
        <v>0.154</v>
      </c>
      <c r="L14" s="22">
        <v>64</v>
      </c>
      <c r="M14" s="22">
        <v>5</v>
      </c>
      <c r="N14" s="22">
        <f t="shared" si="0"/>
        <v>0.78656000000000004</v>
      </c>
      <c r="O14" s="22" t="s">
        <v>986</v>
      </c>
      <c r="P14" s="21" t="s">
        <v>1692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</row>
    <row r="15" spans="1:124" ht="15">
      <c r="A15" s="19"/>
      <c r="B15" s="20"/>
      <c r="C15" s="20"/>
      <c r="D15" s="21"/>
      <c r="E15" s="75"/>
      <c r="F15" s="22"/>
      <c r="G15" s="22"/>
      <c r="H15" s="19"/>
      <c r="I15" s="19" t="s">
        <v>1597</v>
      </c>
      <c r="J15" s="22">
        <v>0.66900000000000004</v>
      </c>
      <c r="K15" s="22">
        <v>0.1</v>
      </c>
      <c r="L15" s="22">
        <v>97</v>
      </c>
      <c r="M15" s="22">
        <v>2</v>
      </c>
      <c r="N15" s="22">
        <f t="shared" si="0"/>
        <v>0.64893000000000001</v>
      </c>
      <c r="O15" s="22" t="s">
        <v>986</v>
      </c>
      <c r="P15" s="21" t="s">
        <v>1692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</row>
    <row r="16" spans="1:124" ht="15">
      <c r="A16" s="19"/>
      <c r="B16" s="20"/>
      <c r="C16" s="20"/>
      <c r="D16" s="21"/>
      <c r="E16" s="75"/>
      <c r="F16" s="22"/>
      <c r="G16" s="22"/>
      <c r="H16" s="19"/>
      <c r="I16" s="19" t="s">
        <v>1598</v>
      </c>
      <c r="J16" s="22" t="s">
        <v>986</v>
      </c>
      <c r="K16" s="22" t="s">
        <v>986</v>
      </c>
      <c r="L16" s="22" t="s">
        <v>986</v>
      </c>
      <c r="M16" s="22" t="s">
        <v>986</v>
      </c>
      <c r="N16" s="22" t="s">
        <v>986</v>
      </c>
      <c r="O16" s="22" t="s">
        <v>986</v>
      </c>
      <c r="P16" s="21" t="s">
        <v>1692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</row>
    <row r="17" spans="1:124" ht="15">
      <c r="A17" s="19"/>
      <c r="B17" s="20"/>
      <c r="C17" s="20"/>
      <c r="D17" s="21"/>
      <c r="E17" s="75"/>
      <c r="F17" s="22"/>
      <c r="G17" s="22"/>
      <c r="H17" s="19"/>
      <c r="I17" s="19" t="s">
        <v>1662</v>
      </c>
      <c r="J17" s="22">
        <v>0.66900000000000004</v>
      </c>
      <c r="K17" s="22">
        <v>0.1</v>
      </c>
      <c r="L17" s="22">
        <v>97</v>
      </c>
      <c r="M17" s="22">
        <v>2</v>
      </c>
      <c r="N17" s="22">
        <f t="shared" ref="N17:N29" si="1">J17*(L17/100)</f>
        <v>0.64893000000000001</v>
      </c>
      <c r="O17" s="22" t="s">
        <v>986</v>
      </c>
      <c r="P17" s="21" t="s">
        <v>1692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</row>
    <row r="18" spans="1:124" ht="15">
      <c r="A18" s="19"/>
      <c r="B18" s="20"/>
      <c r="C18" s="20"/>
      <c r="D18" s="21"/>
      <c r="E18" s="75"/>
      <c r="F18" s="22"/>
      <c r="G18" s="22"/>
      <c r="H18" s="19"/>
      <c r="I18" s="19" t="s">
        <v>1261</v>
      </c>
      <c r="J18" s="22">
        <v>2.7E-2</v>
      </c>
      <c r="K18" s="22">
        <v>1.7999999999999999E-2</v>
      </c>
      <c r="L18" s="22">
        <v>90</v>
      </c>
      <c r="M18" s="22">
        <v>7</v>
      </c>
      <c r="N18" s="22">
        <f t="shared" si="1"/>
        <v>2.4299999999999999E-2</v>
      </c>
      <c r="O18" s="22" t="s">
        <v>986</v>
      </c>
      <c r="P18" s="21" t="s">
        <v>1692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</row>
    <row r="19" spans="1:124" ht="15">
      <c r="A19" s="19"/>
      <c r="B19" s="20"/>
      <c r="C19" s="20"/>
      <c r="D19" s="21"/>
      <c r="E19" s="75"/>
      <c r="F19" s="22"/>
      <c r="G19" s="22"/>
      <c r="H19" s="19"/>
      <c r="I19" s="19" t="s">
        <v>1795</v>
      </c>
      <c r="J19" s="22">
        <v>3.9E-2</v>
      </c>
      <c r="K19" s="22">
        <v>1.7999999999999999E-2</v>
      </c>
      <c r="L19" s="22">
        <v>51</v>
      </c>
      <c r="M19" s="22">
        <v>7</v>
      </c>
      <c r="N19" s="22">
        <f t="shared" si="1"/>
        <v>1.9890000000000001E-2</v>
      </c>
      <c r="O19" s="22" t="s">
        <v>986</v>
      </c>
      <c r="P19" s="21" t="s">
        <v>1692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</row>
    <row r="20" spans="1:124" ht="15">
      <c r="A20" s="19"/>
      <c r="B20" s="20"/>
      <c r="C20" s="20"/>
      <c r="D20" s="21"/>
      <c r="E20" s="75"/>
      <c r="F20" s="22"/>
      <c r="G20" s="22"/>
      <c r="H20" s="19"/>
      <c r="I20" s="19" t="s">
        <v>1785</v>
      </c>
      <c r="J20" s="22">
        <v>0.50700000000000001</v>
      </c>
      <c r="K20" s="22">
        <v>0.106</v>
      </c>
      <c r="L20" s="22">
        <v>0</v>
      </c>
      <c r="M20" s="22">
        <v>0</v>
      </c>
      <c r="N20" s="22">
        <f t="shared" si="1"/>
        <v>0</v>
      </c>
      <c r="O20" s="22" t="s">
        <v>986</v>
      </c>
      <c r="P20" s="21" t="s">
        <v>1692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</row>
    <row r="21" spans="1:124" ht="15">
      <c r="A21" s="19"/>
      <c r="B21" s="20"/>
      <c r="C21" s="20"/>
      <c r="D21" s="21"/>
      <c r="E21" s="75"/>
      <c r="F21" s="22"/>
      <c r="G21" s="22"/>
      <c r="H21" s="19"/>
      <c r="I21" s="19" t="s">
        <v>1359</v>
      </c>
      <c r="J21" s="22">
        <v>0.71699999999999997</v>
      </c>
      <c r="K21" s="22">
        <v>0.14000000000000001</v>
      </c>
      <c r="L21" s="22">
        <v>4</v>
      </c>
      <c r="M21" s="22">
        <v>4</v>
      </c>
      <c r="N21" s="22">
        <f t="shared" si="1"/>
        <v>2.8680000000000001E-2</v>
      </c>
      <c r="O21" s="22" t="s">
        <v>986</v>
      </c>
      <c r="P21" s="21" t="s">
        <v>1692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</row>
    <row r="22" spans="1:124" ht="15">
      <c r="A22" s="19"/>
      <c r="B22" s="20"/>
      <c r="C22" s="20"/>
      <c r="D22" s="21"/>
      <c r="E22" s="75"/>
      <c r="F22" s="22"/>
      <c r="G22" s="22"/>
      <c r="H22" s="19"/>
      <c r="I22" s="19" t="s">
        <v>1687</v>
      </c>
      <c r="J22" s="22">
        <v>0.19900000000000001</v>
      </c>
      <c r="K22" s="22">
        <v>7.8E-2</v>
      </c>
      <c r="L22" s="22">
        <v>0</v>
      </c>
      <c r="M22" s="22">
        <v>0</v>
      </c>
      <c r="N22" s="22">
        <f t="shared" si="1"/>
        <v>0</v>
      </c>
      <c r="O22" s="22" t="s">
        <v>986</v>
      </c>
      <c r="P22" s="21" t="s">
        <v>1692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</row>
    <row r="23" spans="1:124" ht="15">
      <c r="A23" s="19"/>
      <c r="B23" s="20"/>
      <c r="C23" s="20"/>
      <c r="D23" s="21"/>
      <c r="E23" s="75"/>
      <c r="F23" s="22"/>
      <c r="G23" s="22"/>
      <c r="H23" s="19"/>
      <c r="I23" s="19" t="s">
        <v>1688</v>
      </c>
      <c r="J23" s="22">
        <v>0.54100000000000004</v>
      </c>
      <c r="K23" s="22">
        <v>0.54100000000000004</v>
      </c>
      <c r="L23" s="22">
        <v>0</v>
      </c>
      <c r="M23" s="22">
        <v>0</v>
      </c>
      <c r="N23" s="22">
        <f t="shared" si="1"/>
        <v>0</v>
      </c>
      <c r="O23" s="22" t="s">
        <v>986</v>
      </c>
      <c r="P23" s="21" t="s">
        <v>1692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</row>
    <row r="24" spans="1:124" ht="15">
      <c r="A24" s="19"/>
      <c r="B24" s="20"/>
      <c r="C24" s="20"/>
      <c r="D24" s="21"/>
      <c r="E24" s="75"/>
      <c r="F24" s="22"/>
      <c r="G24" s="22"/>
      <c r="H24" s="19"/>
      <c r="I24" s="19" t="s">
        <v>1264</v>
      </c>
      <c r="J24" s="22">
        <v>1.964</v>
      </c>
      <c r="K24" s="22">
        <v>0.59799999999999998</v>
      </c>
      <c r="L24" s="22">
        <v>3</v>
      </c>
      <c r="M24" s="22">
        <v>3</v>
      </c>
      <c r="N24" s="22">
        <f t="shared" si="1"/>
        <v>5.892E-2</v>
      </c>
      <c r="O24" s="22" t="s">
        <v>986</v>
      </c>
      <c r="P24" s="21" t="s">
        <v>1692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</row>
    <row r="25" spans="1:124" ht="15">
      <c r="A25" s="19"/>
      <c r="B25" s="20"/>
      <c r="C25" s="20"/>
      <c r="D25" s="21"/>
      <c r="E25" s="75"/>
      <c r="F25" s="22"/>
      <c r="G25" s="22"/>
      <c r="H25" s="19"/>
      <c r="I25" s="19" t="s">
        <v>485</v>
      </c>
      <c r="J25" s="22">
        <v>3.9089999999999998</v>
      </c>
      <c r="K25" s="22">
        <v>0.64900000000000002</v>
      </c>
      <c r="L25" s="22">
        <v>44</v>
      </c>
      <c r="M25" s="22">
        <v>5</v>
      </c>
      <c r="N25" s="22">
        <f t="shared" si="1"/>
        <v>1.7199599999999999</v>
      </c>
      <c r="O25" s="22" t="s">
        <v>986</v>
      </c>
      <c r="P25" s="21" t="s">
        <v>1692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</row>
    <row r="26" spans="1:124" ht="15">
      <c r="A26" s="19" t="s">
        <v>41</v>
      </c>
      <c r="B26" s="20" t="s">
        <v>1346</v>
      </c>
      <c r="C26" s="20" t="s">
        <v>1347</v>
      </c>
      <c r="D26" s="21" t="s">
        <v>1693</v>
      </c>
      <c r="E26" s="75">
        <v>1992</v>
      </c>
      <c r="F26" s="22">
        <v>8</v>
      </c>
      <c r="G26" s="22">
        <v>13</v>
      </c>
      <c r="H26" s="19" t="s">
        <v>1550</v>
      </c>
      <c r="I26" s="19" t="s">
        <v>1735</v>
      </c>
      <c r="J26" s="22">
        <v>1.1779999999999999</v>
      </c>
      <c r="K26" s="22">
        <v>0.16200000000000001</v>
      </c>
      <c r="L26" s="22">
        <v>86</v>
      </c>
      <c r="M26" s="22">
        <v>5</v>
      </c>
      <c r="N26" s="22">
        <f t="shared" si="1"/>
        <v>1.01308</v>
      </c>
      <c r="O26" s="22" t="s">
        <v>986</v>
      </c>
      <c r="P26" s="21" t="s">
        <v>1603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</row>
    <row r="27" spans="1:124" ht="15">
      <c r="A27" s="19"/>
      <c r="B27" s="20"/>
      <c r="C27" s="20"/>
      <c r="D27" s="21"/>
      <c r="E27" s="75"/>
      <c r="F27" s="22"/>
      <c r="G27" s="22"/>
      <c r="H27" s="19"/>
      <c r="I27" s="19" t="s">
        <v>1597</v>
      </c>
      <c r="J27" s="22">
        <v>1.1950000000000001</v>
      </c>
      <c r="K27" s="22">
        <v>0.217</v>
      </c>
      <c r="L27" s="22">
        <v>100</v>
      </c>
      <c r="M27" s="22">
        <v>0</v>
      </c>
      <c r="N27" s="22">
        <f t="shared" si="1"/>
        <v>1.1950000000000001</v>
      </c>
      <c r="O27" s="22" t="s">
        <v>986</v>
      </c>
      <c r="P27" s="21" t="s">
        <v>1603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</row>
    <row r="28" spans="1:124" ht="15">
      <c r="A28" s="19"/>
      <c r="B28" s="20"/>
      <c r="C28" s="20"/>
      <c r="D28" s="21"/>
      <c r="E28" s="75"/>
      <c r="F28" s="22"/>
      <c r="G28" s="22"/>
      <c r="H28" s="19"/>
      <c r="I28" s="19" t="s">
        <v>1598</v>
      </c>
      <c r="J28" s="22">
        <v>0.215</v>
      </c>
      <c r="K28" s="22">
        <v>0.152</v>
      </c>
      <c r="L28" s="22">
        <v>100</v>
      </c>
      <c r="M28" s="22">
        <v>0</v>
      </c>
      <c r="N28" s="22">
        <f t="shared" si="1"/>
        <v>0.215</v>
      </c>
      <c r="O28" s="22" t="s">
        <v>986</v>
      </c>
      <c r="P28" s="21" t="s">
        <v>1603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</row>
    <row r="29" spans="1:124" ht="15">
      <c r="A29" s="19"/>
      <c r="B29" s="20"/>
      <c r="C29" s="20"/>
      <c r="D29" s="21"/>
      <c r="E29" s="75"/>
      <c r="F29" s="22"/>
      <c r="G29" s="22"/>
      <c r="H29" s="19"/>
      <c r="I29" s="19" t="s">
        <v>1662</v>
      </c>
      <c r="J29" s="22">
        <v>1.411</v>
      </c>
      <c r="K29" s="22">
        <v>0.22500000000000001</v>
      </c>
      <c r="L29" s="22">
        <v>100</v>
      </c>
      <c r="M29" s="22">
        <v>0</v>
      </c>
      <c r="N29" s="22">
        <f t="shared" si="1"/>
        <v>1.411</v>
      </c>
      <c r="O29" s="22" t="s">
        <v>986</v>
      </c>
      <c r="P29" s="21" t="s">
        <v>1603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</row>
    <row r="30" spans="1:124" ht="15">
      <c r="A30" s="19"/>
      <c r="B30" s="20"/>
      <c r="C30" s="20"/>
      <c r="D30" s="21"/>
      <c r="E30" s="75"/>
      <c r="F30" s="22"/>
      <c r="G30" s="22"/>
      <c r="H30" s="19"/>
      <c r="I30" s="19" t="s">
        <v>1261</v>
      </c>
      <c r="J30" s="22" t="s">
        <v>986</v>
      </c>
      <c r="K30" s="22" t="s">
        <v>986</v>
      </c>
      <c r="L30" s="22" t="s">
        <v>986</v>
      </c>
      <c r="M30" s="22" t="s">
        <v>986</v>
      </c>
      <c r="N30" s="22" t="s">
        <v>986</v>
      </c>
      <c r="O30" s="22" t="s">
        <v>986</v>
      </c>
      <c r="P30" s="21" t="s">
        <v>1603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</row>
    <row r="31" spans="1:124" ht="15">
      <c r="A31" s="19"/>
      <c r="B31" s="20"/>
      <c r="C31" s="20"/>
      <c r="D31" s="21"/>
      <c r="E31" s="75"/>
      <c r="F31" s="22"/>
      <c r="G31" s="22"/>
      <c r="H31" s="19"/>
      <c r="I31" s="19" t="s">
        <v>1795</v>
      </c>
      <c r="J31" s="22">
        <v>1.2999999999999999E-2</v>
      </c>
      <c r="K31" s="22">
        <v>5.0000000000000001E-3</v>
      </c>
      <c r="L31" s="22">
        <v>10</v>
      </c>
      <c r="M31" s="22">
        <v>5</v>
      </c>
      <c r="N31" s="22">
        <f t="shared" ref="N31:N58" si="2">J31*(L31/100)</f>
        <v>1.2999999999999999E-3</v>
      </c>
      <c r="O31" s="22" t="s">
        <v>986</v>
      </c>
      <c r="P31" s="21" t="s">
        <v>1603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</row>
    <row r="32" spans="1:124" ht="15">
      <c r="A32" s="19"/>
      <c r="B32" s="20"/>
      <c r="C32" s="20"/>
      <c r="D32" s="21"/>
      <c r="E32" s="75"/>
      <c r="F32" s="22"/>
      <c r="G32" s="22"/>
      <c r="H32" s="19"/>
      <c r="I32" s="19" t="s">
        <v>1785</v>
      </c>
      <c r="J32" s="22">
        <v>0.21199999999999999</v>
      </c>
      <c r="K32" s="22">
        <v>8.7999999999999995E-2</v>
      </c>
      <c r="L32" s="22">
        <v>60</v>
      </c>
      <c r="M32" s="22">
        <v>11</v>
      </c>
      <c r="N32" s="22">
        <f t="shared" si="2"/>
        <v>0.12719999999999998</v>
      </c>
      <c r="O32" s="22" t="s">
        <v>986</v>
      </c>
      <c r="P32" s="21" t="s">
        <v>1603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</row>
    <row r="33" spans="1:124" ht="15">
      <c r="A33" s="19"/>
      <c r="B33" s="20"/>
      <c r="C33" s="20"/>
      <c r="D33" s="21"/>
      <c r="E33" s="75"/>
      <c r="F33" s="22"/>
      <c r="G33" s="22"/>
      <c r="H33" s="19"/>
      <c r="I33" s="19" t="s">
        <v>1359</v>
      </c>
      <c r="J33" s="22">
        <v>0.27400000000000002</v>
      </c>
      <c r="K33" s="22">
        <v>7.9000000000000001E-2</v>
      </c>
      <c r="L33" s="22">
        <v>16</v>
      </c>
      <c r="M33" s="22">
        <v>5</v>
      </c>
      <c r="N33" s="22">
        <f t="shared" si="2"/>
        <v>4.3840000000000004E-2</v>
      </c>
      <c r="O33" s="22" t="s">
        <v>986</v>
      </c>
      <c r="P33" s="21" t="s">
        <v>1603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</row>
    <row r="34" spans="1:124" ht="15">
      <c r="A34" s="19"/>
      <c r="B34" s="20"/>
      <c r="C34" s="20"/>
      <c r="D34" s="21"/>
      <c r="E34" s="75"/>
      <c r="F34" s="22"/>
      <c r="G34" s="22"/>
      <c r="H34" s="19"/>
      <c r="I34" s="19" t="s">
        <v>1687</v>
      </c>
      <c r="J34" s="22">
        <v>0.14899999999999999</v>
      </c>
      <c r="K34" s="22">
        <v>8.6999999999999994E-2</v>
      </c>
      <c r="L34" s="22">
        <v>0</v>
      </c>
      <c r="M34" s="22">
        <v>0</v>
      </c>
      <c r="N34" s="22">
        <f t="shared" si="2"/>
        <v>0</v>
      </c>
      <c r="O34" s="22" t="s">
        <v>986</v>
      </c>
      <c r="P34" s="21" t="s">
        <v>1603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</row>
    <row r="35" spans="1:124" ht="15">
      <c r="A35" s="19"/>
      <c r="B35" s="20"/>
      <c r="C35" s="20"/>
      <c r="D35" s="21"/>
      <c r="E35" s="75"/>
      <c r="F35" s="22"/>
      <c r="G35" s="22"/>
      <c r="H35" s="19"/>
      <c r="I35" s="19" t="s">
        <v>1688</v>
      </c>
      <c r="J35" s="22">
        <v>0.31</v>
      </c>
      <c r="K35" s="22">
        <v>0.31</v>
      </c>
      <c r="L35" s="22">
        <v>0</v>
      </c>
      <c r="M35" s="22">
        <v>0</v>
      </c>
      <c r="N35" s="22">
        <f t="shared" si="2"/>
        <v>0</v>
      </c>
      <c r="O35" s="22" t="s">
        <v>986</v>
      </c>
      <c r="P35" s="21" t="s">
        <v>1603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</row>
    <row r="36" spans="1:124" ht="15">
      <c r="A36" s="19"/>
      <c r="B36" s="20"/>
      <c r="C36" s="20"/>
      <c r="D36" s="21"/>
      <c r="E36" s="75"/>
      <c r="F36" s="22"/>
      <c r="G36" s="22"/>
      <c r="H36" s="19"/>
      <c r="I36" s="19" t="s">
        <v>1264</v>
      </c>
      <c r="J36" s="22">
        <v>0.94499999999999995</v>
      </c>
      <c r="K36" s="22">
        <v>0.34699999999999998</v>
      </c>
      <c r="L36" s="22">
        <v>20</v>
      </c>
      <c r="M36" s="22">
        <v>4</v>
      </c>
      <c r="N36" s="22">
        <f t="shared" si="2"/>
        <v>0.189</v>
      </c>
      <c r="O36" s="22" t="s">
        <v>986</v>
      </c>
      <c r="P36" s="21" t="s">
        <v>1603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</row>
    <row r="37" spans="1:124" ht="15">
      <c r="A37" s="19"/>
      <c r="B37" s="20"/>
      <c r="C37" s="20"/>
      <c r="D37" s="21"/>
      <c r="E37" s="75"/>
      <c r="F37" s="22"/>
      <c r="G37" s="22"/>
      <c r="H37" s="19"/>
      <c r="I37" s="19" t="s">
        <v>485</v>
      </c>
      <c r="J37" s="22">
        <v>3.5550000000000002</v>
      </c>
      <c r="K37" s="22">
        <v>0.48599999999999999</v>
      </c>
      <c r="L37" s="22">
        <v>76</v>
      </c>
      <c r="M37" s="22">
        <v>5</v>
      </c>
      <c r="N37" s="22">
        <f t="shared" si="2"/>
        <v>2.7018</v>
      </c>
      <c r="O37" s="22" t="s">
        <v>986</v>
      </c>
      <c r="P37" s="21" t="s">
        <v>1603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</row>
    <row r="38" spans="1:124" ht="15">
      <c r="A38" s="19" t="s">
        <v>41</v>
      </c>
      <c r="B38" s="20" t="s">
        <v>1346</v>
      </c>
      <c r="C38" s="20" t="s">
        <v>1347</v>
      </c>
      <c r="D38" s="21" t="s">
        <v>1689</v>
      </c>
      <c r="E38" s="75">
        <v>1992</v>
      </c>
      <c r="F38" s="22">
        <v>8</v>
      </c>
      <c r="G38" s="22">
        <v>14</v>
      </c>
      <c r="H38" s="19" t="s">
        <v>1550</v>
      </c>
      <c r="I38" s="19" t="s">
        <v>544</v>
      </c>
      <c r="J38" s="22">
        <v>1.85</v>
      </c>
      <c r="K38" s="22">
        <v>0.495</v>
      </c>
      <c r="L38" s="22">
        <v>86</v>
      </c>
      <c r="M38" s="22">
        <v>8</v>
      </c>
      <c r="N38" s="22">
        <f t="shared" si="2"/>
        <v>1.591</v>
      </c>
      <c r="O38" s="22" t="s">
        <v>986</v>
      </c>
      <c r="P38" s="21" t="s">
        <v>1601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</row>
    <row r="39" spans="1:124" ht="15">
      <c r="A39" s="19"/>
      <c r="B39" s="20"/>
      <c r="C39" s="20"/>
      <c r="D39" s="21"/>
      <c r="E39" s="75"/>
      <c r="F39" s="22"/>
      <c r="G39" s="22"/>
      <c r="H39" s="19"/>
      <c r="I39" s="19" t="s">
        <v>1597</v>
      </c>
      <c r="J39" s="22">
        <v>0.442</v>
      </c>
      <c r="K39" s="22">
        <v>0.16200000000000001</v>
      </c>
      <c r="L39" s="22">
        <v>100</v>
      </c>
      <c r="M39" s="22">
        <v>0</v>
      </c>
      <c r="N39" s="22">
        <f t="shared" si="2"/>
        <v>0.442</v>
      </c>
      <c r="O39" s="22" t="s">
        <v>986</v>
      </c>
      <c r="P39" s="21" t="s">
        <v>1601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</row>
    <row r="40" spans="1:124" ht="15">
      <c r="A40" s="19"/>
      <c r="B40" s="20"/>
      <c r="C40" s="20"/>
      <c r="D40" s="21"/>
      <c r="E40" s="75"/>
      <c r="F40" s="22"/>
      <c r="G40" s="22"/>
      <c r="H40" s="19"/>
      <c r="I40" s="19" t="s">
        <v>1598</v>
      </c>
      <c r="J40" s="22">
        <v>1.3340000000000001</v>
      </c>
      <c r="K40" s="22">
        <v>0.47799999999999998</v>
      </c>
      <c r="L40" s="22">
        <v>91</v>
      </c>
      <c r="M40" s="22">
        <v>2</v>
      </c>
      <c r="N40" s="22">
        <f t="shared" si="2"/>
        <v>1.21394</v>
      </c>
      <c r="O40" s="22" t="s">
        <v>986</v>
      </c>
      <c r="P40" s="21" t="s">
        <v>1601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</row>
    <row r="41" spans="1:124" ht="15">
      <c r="A41" s="19"/>
      <c r="B41" s="20"/>
      <c r="C41" s="20"/>
      <c r="D41" s="21"/>
      <c r="E41" s="75"/>
      <c r="F41" s="22"/>
      <c r="G41" s="22"/>
      <c r="H41" s="19"/>
      <c r="I41" s="19" t="s">
        <v>1662</v>
      </c>
      <c r="J41" s="22">
        <v>1.776</v>
      </c>
      <c r="K41" s="22">
        <v>0.35799999999999998</v>
      </c>
      <c r="L41" s="22">
        <v>94</v>
      </c>
      <c r="M41" s="22">
        <v>3</v>
      </c>
      <c r="N41" s="22">
        <f t="shared" si="2"/>
        <v>1.66944</v>
      </c>
      <c r="O41" s="22" t="s">
        <v>986</v>
      </c>
      <c r="P41" s="21" t="s">
        <v>1601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</row>
    <row r="42" spans="1:124" ht="15">
      <c r="A42" s="19"/>
      <c r="B42" s="20"/>
      <c r="C42" s="20"/>
      <c r="D42" s="21"/>
      <c r="E42" s="75"/>
      <c r="F42" s="22"/>
      <c r="G42" s="22"/>
      <c r="H42" s="19"/>
      <c r="I42" s="19" t="s">
        <v>1261</v>
      </c>
      <c r="J42" s="22">
        <v>0.02</v>
      </c>
      <c r="K42" s="22">
        <v>8.9999999999999993E-3</v>
      </c>
      <c r="L42" s="22">
        <v>85</v>
      </c>
      <c r="M42" s="22">
        <v>1</v>
      </c>
      <c r="N42" s="22">
        <f t="shared" si="2"/>
        <v>1.7000000000000001E-2</v>
      </c>
      <c r="O42" s="22" t="s">
        <v>986</v>
      </c>
      <c r="P42" s="21" t="s">
        <v>1601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</row>
    <row r="43" spans="1:124" ht="15">
      <c r="A43" s="19"/>
      <c r="B43" s="20"/>
      <c r="C43" s="20"/>
      <c r="D43" s="21"/>
      <c r="E43" s="75"/>
      <c r="F43" s="22"/>
      <c r="G43" s="22"/>
      <c r="H43" s="19"/>
      <c r="I43" s="19" t="s">
        <v>1795</v>
      </c>
      <c r="J43" s="22">
        <v>0.03</v>
      </c>
      <c r="K43" s="22">
        <v>1.6E-2</v>
      </c>
      <c r="L43" s="22">
        <v>76</v>
      </c>
      <c r="M43" s="22">
        <v>12</v>
      </c>
      <c r="N43" s="22">
        <f t="shared" si="2"/>
        <v>2.2800000000000001E-2</v>
      </c>
      <c r="O43" s="22" t="s">
        <v>986</v>
      </c>
      <c r="P43" s="21" t="s">
        <v>1601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</row>
    <row r="44" spans="1:124" ht="15">
      <c r="A44" s="19"/>
      <c r="B44" s="20"/>
      <c r="C44" s="20"/>
      <c r="D44" s="21"/>
      <c r="E44" s="75"/>
      <c r="F44" s="22"/>
      <c r="G44" s="22"/>
      <c r="H44" s="19"/>
      <c r="I44" s="19" t="s">
        <v>1785</v>
      </c>
      <c r="J44" s="22">
        <v>0.10199999999999999</v>
      </c>
      <c r="K44" s="22">
        <v>3.5000000000000003E-2</v>
      </c>
      <c r="L44" s="22">
        <v>56</v>
      </c>
      <c r="M44" s="22">
        <v>13</v>
      </c>
      <c r="N44" s="22">
        <f t="shared" si="2"/>
        <v>5.7120000000000004E-2</v>
      </c>
      <c r="O44" s="22" t="s">
        <v>986</v>
      </c>
      <c r="P44" s="21" t="s">
        <v>1601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</row>
    <row r="45" spans="1:124" ht="15">
      <c r="A45" s="19"/>
      <c r="B45" s="20"/>
      <c r="C45" s="20"/>
      <c r="D45" s="21"/>
      <c r="E45" s="75"/>
      <c r="F45" s="22"/>
      <c r="G45" s="22"/>
      <c r="H45" s="19"/>
      <c r="I45" s="19" t="s">
        <v>1359</v>
      </c>
      <c r="J45" s="22">
        <v>8.1000000000000003E-2</v>
      </c>
      <c r="K45" s="22">
        <v>2.1000000000000001E-2</v>
      </c>
      <c r="L45" s="22">
        <v>40</v>
      </c>
      <c r="M45" s="22">
        <v>16</v>
      </c>
      <c r="N45" s="22">
        <f t="shared" si="2"/>
        <v>3.2400000000000005E-2</v>
      </c>
      <c r="O45" s="22" t="s">
        <v>986</v>
      </c>
      <c r="P45" s="21" t="s">
        <v>1601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</row>
    <row r="46" spans="1:124" ht="15">
      <c r="A46" s="19"/>
      <c r="B46" s="20"/>
      <c r="C46" s="20"/>
      <c r="D46" s="21"/>
      <c r="E46" s="75"/>
      <c r="F46" s="22"/>
      <c r="G46" s="22"/>
      <c r="H46" s="19"/>
      <c r="I46" s="19" t="s">
        <v>1687</v>
      </c>
      <c r="J46" s="22">
        <v>0.16600000000000001</v>
      </c>
      <c r="K46" s="22">
        <v>6.9000000000000006E-2</v>
      </c>
      <c r="L46" s="22">
        <v>0</v>
      </c>
      <c r="M46" s="22">
        <v>0</v>
      </c>
      <c r="N46" s="22">
        <f t="shared" si="2"/>
        <v>0</v>
      </c>
      <c r="O46" s="22" t="s">
        <v>986</v>
      </c>
      <c r="P46" s="21" t="s">
        <v>1601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</row>
    <row r="47" spans="1:124" ht="15">
      <c r="A47" s="19"/>
      <c r="B47" s="20"/>
      <c r="C47" s="20"/>
      <c r="D47" s="21"/>
      <c r="E47" s="75"/>
      <c r="F47" s="22"/>
      <c r="G47" s="22"/>
      <c r="H47" s="19"/>
      <c r="I47" s="19" t="s">
        <v>1688</v>
      </c>
      <c r="J47" s="22">
        <v>0.28299999999999997</v>
      </c>
      <c r="K47" s="22">
        <v>0.28299999999999997</v>
      </c>
      <c r="L47" s="22">
        <v>0</v>
      </c>
      <c r="M47" s="22">
        <v>0</v>
      </c>
      <c r="N47" s="22">
        <f t="shared" si="2"/>
        <v>0</v>
      </c>
      <c r="O47" s="22" t="s">
        <v>986</v>
      </c>
      <c r="P47" s="21" t="s">
        <v>1601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</row>
    <row r="48" spans="1:124" ht="15">
      <c r="A48" s="19"/>
      <c r="B48" s="20"/>
      <c r="C48" s="20"/>
      <c r="D48" s="21"/>
      <c r="E48" s="75"/>
      <c r="F48" s="22"/>
      <c r="G48" s="22"/>
      <c r="H48" s="19"/>
      <c r="I48" s="19" t="s">
        <v>1264</v>
      </c>
      <c r="J48" s="22">
        <v>0.63100000000000001</v>
      </c>
      <c r="K48" s="22">
        <v>0.30199999999999999</v>
      </c>
      <c r="L48" s="22">
        <v>43</v>
      </c>
      <c r="M48" s="22">
        <v>11</v>
      </c>
      <c r="N48" s="22">
        <f t="shared" si="2"/>
        <v>0.27133000000000002</v>
      </c>
      <c r="O48" s="22" t="s">
        <v>986</v>
      </c>
      <c r="P48" s="21" t="s">
        <v>1601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</row>
    <row r="49" spans="1:124" ht="15">
      <c r="A49" s="19"/>
      <c r="B49" s="20"/>
      <c r="C49" s="20"/>
      <c r="D49" s="21"/>
      <c r="E49" s="75"/>
      <c r="F49" s="22"/>
      <c r="G49" s="22"/>
      <c r="H49" s="19"/>
      <c r="I49" s="19" t="s">
        <v>485</v>
      </c>
      <c r="J49" s="22">
        <v>4.444</v>
      </c>
      <c r="K49" s="22">
        <v>0.56899999999999995</v>
      </c>
      <c r="L49" s="22">
        <v>84</v>
      </c>
      <c r="M49" s="22">
        <v>5</v>
      </c>
      <c r="N49" s="22">
        <f t="shared" si="2"/>
        <v>3.7329599999999998</v>
      </c>
      <c r="O49" s="22" t="s">
        <v>986</v>
      </c>
      <c r="P49" s="21" t="s">
        <v>1601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</row>
    <row r="50" spans="1:124" ht="15">
      <c r="A50" s="19" t="s">
        <v>41</v>
      </c>
      <c r="B50" s="20" t="s">
        <v>1346</v>
      </c>
      <c r="C50" s="20" t="s">
        <v>1347</v>
      </c>
      <c r="D50" s="21" t="s">
        <v>1602</v>
      </c>
      <c r="E50" s="75">
        <v>1992</v>
      </c>
      <c r="F50" s="22">
        <v>9</v>
      </c>
      <c r="G50" s="22">
        <v>10</v>
      </c>
      <c r="H50" s="19" t="s">
        <v>1550</v>
      </c>
      <c r="I50" s="19" t="s">
        <v>1696</v>
      </c>
      <c r="J50" s="22">
        <v>0.58399999999999996</v>
      </c>
      <c r="K50" s="22">
        <v>9.8000000000000004E-2</v>
      </c>
      <c r="L50" s="22">
        <v>98</v>
      </c>
      <c r="M50" s="22">
        <v>0</v>
      </c>
      <c r="N50" s="22">
        <f t="shared" si="2"/>
        <v>0.57231999999999994</v>
      </c>
      <c r="O50" s="22" t="s">
        <v>986</v>
      </c>
      <c r="P50" s="21" t="s">
        <v>1697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</row>
    <row r="51" spans="1:124" ht="15">
      <c r="A51" s="19"/>
      <c r="B51" s="20"/>
      <c r="C51" s="20"/>
      <c r="D51" s="21"/>
      <c r="E51" s="75"/>
      <c r="F51" s="22"/>
      <c r="G51" s="22"/>
      <c r="H51" s="19"/>
      <c r="I51" s="19" t="s">
        <v>1597</v>
      </c>
      <c r="J51" s="22">
        <v>0.58799999999999997</v>
      </c>
      <c r="K51" s="22">
        <v>0.10199999999999999</v>
      </c>
      <c r="L51" s="22">
        <v>100</v>
      </c>
      <c r="M51" s="22">
        <v>0</v>
      </c>
      <c r="N51" s="22">
        <f t="shared" si="2"/>
        <v>0.58799999999999997</v>
      </c>
      <c r="O51" s="22" t="s">
        <v>986</v>
      </c>
      <c r="P51" s="21" t="s">
        <v>1697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</row>
    <row r="52" spans="1:124" ht="15">
      <c r="A52" s="19"/>
      <c r="B52" s="20"/>
      <c r="C52" s="20"/>
      <c r="D52" s="21"/>
      <c r="E52" s="75"/>
      <c r="F52" s="22"/>
      <c r="G52" s="22"/>
      <c r="H52" s="19"/>
      <c r="I52" s="19" t="s">
        <v>1598</v>
      </c>
      <c r="J52" s="22">
        <v>5.1999999999999998E-2</v>
      </c>
      <c r="K52" s="22">
        <v>1.2E-2</v>
      </c>
      <c r="L52" s="22">
        <v>90</v>
      </c>
      <c r="M52" s="22">
        <v>3</v>
      </c>
      <c r="N52" s="22">
        <f t="shared" si="2"/>
        <v>4.6800000000000001E-2</v>
      </c>
      <c r="O52" s="22" t="s">
        <v>986</v>
      </c>
      <c r="P52" s="21" t="s">
        <v>1697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</row>
    <row r="53" spans="1:124" ht="15">
      <c r="A53" s="19"/>
      <c r="B53" s="20"/>
      <c r="C53" s="20"/>
      <c r="D53" s="21"/>
      <c r="E53" s="75"/>
      <c r="F53" s="22"/>
      <c r="G53" s="22"/>
      <c r="H53" s="19"/>
      <c r="I53" s="19" t="s">
        <v>1662</v>
      </c>
      <c r="J53" s="22">
        <v>0.63900000000000001</v>
      </c>
      <c r="K53" s="22">
        <v>0.10100000000000001</v>
      </c>
      <c r="L53" s="22">
        <v>99</v>
      </c>
      <c r="M53" s="22">
        <v>0</v>
      </c>
      <c r="N53" s="22">
        <f t="shared" si="2"/>
        <v>0.63261000000000001</v>
      </c>
      <c r="O53" s="22" t="s">
        <v>986</v>
      </c>
      <c r="P53" s="21" t="s">
        <v>1697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</row>
    <row r="54" spans="1:124" ht="15">
      <c r="A54" s="19"/>
      <c r="B54" s="20"/>
      <c r="C54" s="20"/>
      <c r="D54" s="21"/>
      <c r="E54" s="75"/>
      <c r="F54" s="22"/>
      <c r="G54" s="22"/>
      <c r="H54" s="19"/>
      <c r="I54" s="19" t="s">
        <v>1261</v>
      </c>
      <c r="J54" s="22">
        <v>0.184</v>
      </c>
      <c r="K54" s="22">
        <v>0.112</v>
      </c>
      <c r="L54" s="22">
        <v>94</v>
      </c>
      <c r="M54" s="22">
        <v>2</v>
      </c>
      <c r="N54" s="22">
        <f t="shared" si="2"/>
        <v>0.17295999999999997</v>
      </c>
      <c r="O54" s="22" t="s">
        <v>986</v>
      </c>
      <c r="P54" s="21" t="s">
        <v>1697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</row>
    <row r="55" spans="1:124" ht="15">
      <c r="A55" s="19"/>
      <c r="B55" s="20"/>
      <c r="C55" s="20"/>
      <c r="D55" s="21"/>
      <c r="E55" s="75"/>
      <c r="F55" s="22"/>
      <c r="G55" s="22"/>
      <c r="H55" s="19"/>
      <c r="I55" s="19" t="s">
        <v>1795</v>
      </c>
      <c r="J55" s="22">
        <v>5.0000000000000001E-3</v>
      </c>
      <c r="K55" s="22">
        <v>2E-3</v>
      </c>
      <c r="L55" s="22">
        <v>26</v>
      </c>
      <c r="M55" s="22">
        <v>3</v>
      </c>
      <c r="N55" s="22">
        <f t="shared" si="2"/>
        <v>1.3000000000000002E-3</v>
      </c>
      <c r="O55" s="22" t="s">
        <v>986</v>
      </c>
      <c r="P55" s="21" t="s">
        <v>1697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</row>
    <row r="56" spans="1:124" ht="15">
      <c r="A56" s="19"/>
      <c r="B56" s="20"/>
      <c r="C56" s="20"/>
      <c r="D56" s="21"/>
      <c r="E56" s="75"/>
      <c r="F56" s="22"/>
      <c r="G56" s="22"/>
      <c r="H56" s="19"/>
      <c r="I56" s="19" t="s">
        <v>1785</v>
      </c>
      <c r="J56" s="22">
        <v>0.28199999999999997</v>
      </c>
      <c r="K56" s="22">
        <v>8.1000000000000003E-2</v>
      </c>
      <c r="L56" s="22">
        <v>34</v>
      </c>
      <c r="M56" s="22">
        <v>13</v>
      </c>
      <c r="N56" s="22">
        <f t="shared" si="2"/>
        <v>9.5879999999999993E-2</v>
      </c>
      <c r="O56" s="22" t="s">
        <v>986</v>
      </c>
      <c r="P56" s="21" t="s">
        <v>1697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</row>
    <row r="57" spans="1:124" ht="15">
      <c r="A57" s="19"/>
      <c r="B57" s="20"/>
      <c r="C57" s="20"/>
      <c r="D57" s="21"/>
      <c r="E57" s="75"/>
      <c r="F57" s="22"/>
      <c r="G57" s="22"/>
      <c r="H57" s="19"/>
      <c r="I57" s="19" t="s">
        <v>1359</v>
      </c>
      <c r="J57" s="22">
        <v>0.217</v>
      </c>
      <c r="K57" s="22">
        <v>6.4000000000000001E-2</v>
      </c>
      <c r="L57" s="22">
        <v>3</v>
      </c>
      <c r="M57" s="22">
        <v>11</v>
      </c>
      <c r="N57" s="22">
        <f t="shared" si="2"/>
        <v>6.5099999999999993E-3</v>
      </c>
      <c r="O57" s="22" t="s">
        <v>986</v>
      </c>
      <c r="P57" s="21" t="s">
        <v>1697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</row>
    <row r="58" spans="1:124" ht="15">
      <c r="A58" s="19"/>
      <c r="B58" s="20"/>
      <c r="C58" s="20"/>
      <c r="D58" s="21"/>
      <c r="E58" s="75"/>
      <c r="F58" s="22"/>
      <c r="G58" s="22"/>
      <c r="H58" s="19"/>
      <c r="I58" s="19" t="s">
        <v>1687</v>
      </c>
      <c r="J58" s="22">
        <v>0.29799999999999999</v>
      </c>
      <c r="K58" s="22">
        <v>0.19400000000000001</v>
      </c>
      <c r="L58" s="22">
        <v>0</v>
      </c>
      <c r="M58" s="22">
        <v>0</v>
      </c>
      <c r="N58" s="22">
        <f t="shared" si="2"/>
        <v>0</v>
      </c>
      <c r="O58" s="22" t="s">
        <v>986</v>
      </c>
      <c r="P58" s="21" t="s">
        <v>1697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</row>
    <row r="59" spans="1:124" ht="15">
      <c r="A59" s="19"/>
      <c r="B59" s="20"/>
      <c r="C59" s="20"/>
      <c r="D59" s="21"/>
      <c r="E59" s="75"/>
      <c r="F59" s="22"/>
      <c r="G59" s="22"/>
      <c r="H59" s="19"/>
      <c r="I59" s="19" t="s">
        <v>1688</v>
      </c>
      <c r="J59" s="22" t="s">
        <v>986</v>
      </c>
      <c r="K59" s="22" t="s">
        <v>986</v>
      </c>
      <c r="L59" s="22" t="s">
        <v>986</v>
      </c>
      <c r="M59" s="22" t="s">
        <v>986</v>
      </c>
      <c r="N59" s="22" t="s">
        <v>986</v>
      </c>
      <c r="O59" s="22" t="s">
        <v>986</v>
      </c>
      <c r="P59" s="21" t="s">
        <v>1697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</row>
    <row r="60" spans="1:124" ht="15">
      <c r="A60" s="19"/>
      <c r="B60" s="20"/>
      <c r="C60" s="20"/>
      <c r="D60" s="21"/>
      <c r="E60" s="75"/>
      <c r="F60" s="22"/>
      <c r="G60" s="22"/>
      <c r="H60" s="19"/>
      <c r="I60" s="19" t="s">
        <v>1264</v>
      </c>
      <c r="J60" s="22">
        <v>0.79800000000000004</v>
      </c>
      <c r="K60" s="22">
        <v>0.249</v>
      </c>
      <c r="L60" s="22">
        <v>13</v>
      </c>
      <c r="M60" s="22">
        <v>11</v>
      </c>
      <c r="N60" s="22">
        <f t="shared" ref="N60:N70" si="3">J60*(L60/100)</f>
        <v>0.10374000000000001</v>
      </c>
      <c r="O60" s="22" t="s">
        <v>986</v>
      </c>
      <c r="P60" s="21" t="s">
        <v>1697</v>
      </c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</row>
    <row r="61" spans="1:124" ht="15">
      <c r="A61" s="19"/>
      <c r="B61" s="20"/>
      <c r="C61" s="20"/>
      <c r="D61" s="21"/>
      <c r="E61" s="75"/>
      <c r="F61" s="22"/>
      <c r="G61" s="22"/>
      <c r="H61" s="19"/>
      <c r="I61" s="19" t="s">
        <v>485</v>
      </c>
      <c r="J61" s="22">
        <v>2.218</v>
      </c>
      <c r="K61" s="22">
        <v>0.35199999999999998</v>
      </c>
      <c r="L61" s="22">
        <v>67</v>
      </c>
      <c r="M61" s="22">
        <v>5</v>
      </c>
      <c r="N61" s="22">
        <f t="shared" si="3"/>
        <v>1.4860600000000002</v>
      </c>
      <c r="O61" s="22" t="s">
        <v>986</v>
      </c>
      <c r="P61" s="21" t="s">
        <v>1697</v>
      </c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</row>
    <row r="62" spans="1:124" ht="15">
      <c r="A62" s="19" t="s">
        <v>41</v>
      </c>
      <c r="B62" s="20" t="s">
        <v>1346</v>
      </c>
      <c r="C62" s="20" t="s">
        <v>1347</v>
      </c>
      <c r="D62" s="21" t="s">
        <v>1704</v>
      </c>
      <c r="E62" s="75">
        <v>1992</v>
      </c>
      <c r="F62" s="22">
        <v>9</v>
      </c>
      <c r="G62" s="22">
        <v>11</v>
      </c>
      <c r="H62" s="19" t="s">
        <v>1550</v>
      </c>
      <c r="I62" s="19" t="s">
        <v>544</v>
      </c>
      <c r="J62" s="22">
        <v>1.133</v>
      </c>
      <c r="K62" s="22">
        <v>6.6000000000000003E-2</v>
      </c>
      <c r="L62" s="22">
        <v>100</v>
      </c>
      <c r="M62" s="22">
        <v>0</v>
      </c>
      <c r="N62" s="22">
        <f t="shared" si="3"/>
        <v>1.133</v>
      </c>
      <c r="O62" s="22" t="s">
        <v>986</v>
      </c>
      <c r="P62" s="21" t="s">
        <v>1522</v>
      </c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</row>
    <row r="63" spans="1:124" ht="15">
      <c r="A63" s="19"/>
      <c r="B63" s="20"/>
      <c r="C63" s="20"/>
      <c r="D63" s="21"/>
      <c r="E63" s="75"/>
      <c r="F63" s="22"/>
      <c r="G63" s="22"/>
      <c r="H63" s="19"/>
      <c r="I63" s="19" t="s">
        <v>1597</v>
      </c>
      <c r="J63" s="22">
        <v>2.4249999999999998</v>
      </c>
      <c r="K63" s="22">
        <v>0.24199999999999999</v>
      </c>
      <c r="L63" s="22">
        <v>100</v>
      </c>
      <c r="M63" s="22">
        <v>0</v>
      </c>
      <c r="N63" s="22">
        <f t="shared" si="3"/>
        <v>2.4249999999999998</v>
      </c>
      <c r="O63" s="22" t="s">
        <v>986</v>
      </c>
      <c r="P63" s="21" t="s">
        <v>1522</v>
      </c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</row>
    <row r="64" spans="1:124" ht="15">
      <c r="A64" s="19"/>
      <c r="B64" s="20"/>
      <c r="C64" s="20"/>
      <c r="D64" s="21"/>
      <c r="E64" s="75"/>
      <c r="F64" s="22"/>
      <c r="G64" s="22"/>
      <c r="H64" s="19"/>
      <c r="I64" s="19" t="s">
        <v>1598</v>
      </c>
      <c r="J64" s="22">
        <v>7.1999999999999995E-2</v>
      </c>
      <c r="K64" s="22">
        <v>3.3000000000000002E-2</v>
      </c>
      <c r="L64" s="22">
        <v>100</v>
      </c>
      <c r="M64" s="22">
        <v>0</v>
      </c>
      <c r="N64" s="22">
        <f t="shared" si="3"/>
        <v>7.1999999999999995E-2</v>
      </c>
      <c r="O64" s="22" t="s">
        <v>986</v>
      </c>
      <c r="P64" s="21" t="s">
        <v>1522</v>
      </c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</row>
    <row r="65" spans="1:124" ht="15">
      <c r="A65" s="19"/>
      <c r="B65" s="20"/>
      <c r="C65" s="20"/>
      <c r="D65" s="21"/>
      <c r="E65" s="75"/>
      <c r="F65" s="22"/>
      <c r="G65" s="22"/>
      <c r="H65" s="19"/>
      <c r="I65" s="19" t="s">
        <v>1662</v>
      </c>
      <c r="J65" s="22">
        <v>2.4969999999999999</v>
      </c>
      <c r="K65" s="22">
        <v>0.254</v>
      </c>
      <c r="L65" s="22">
        <v>100</v>
      </c>
      <c r="M65" s="22">
        <v>0</v>
      </c>
      <c r="N65" s="22">
        <f t="shared" si="3"/>
        <v>2.4969999999999999</v>
      </c>
      <c r="O65" s="22" t="s">
        <v>986</v>
      </c>
      <c r="P65" s="21" t="s">
        <v>1522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</row>
    <row r="66" spans="1:124" ht="15">
      <c r="A66" s="19"/>
      <c r="B66" s="20"/>
      <c r="C66" s="20"/>
      <c r="D66" s="21"/>
      <c r="E66" s="75"/>
      <c r="F66" s="22"/>
      <c r="G66" s="22"/>
      <c r="H66" s="19"/>
      <c r="I66" s="19" t="s">
        <v>1261</v>
      </c>
      <c r="J66" s="22">
        <v>4.4999999999999998E-2</v>
      </c>
      <c r="K66" s="22">
        <v>3.5000000000000003E-2</v>
      </c>
      <c r="L66" s="22">
        <v>100</v>
      </c>
      <c r="M66" s="22">
        <v>0</v>
      </c>
      <c r="N66" s="22">
        <f t="shared" si="3"/>
        <v>4.4999999999999998E-2</v>
      </c>
      <c r="O66" s="22" t="s">
        <v>986</v>
      </c>
      <c r="P66" s="21" t="s">
        <v>1522</v>
      </c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</row>
    <row r="67" spans="1:124" ht="15">
      <c r="A67" s="19"/>
      <c r="B67" s="20"/>
      <c r="C67" s="20"/>
      <c r="D67" s="21"/>
      <c r="E67" s="75"/>
      <c r="F67" s="22"/>
      <c r="G67" s="22"/>
      <c r="H67" s="19"/>
      <c r="I67" s="19" t="s">
        <v>1795</v>
      </c>
      <c r="J67" s="22">
        <v>3.0000000000000001E-3</v>
      </c>
      <c r="K67" s="22">
        <v>2E-3</v>
      </c>
      <c r="L67" s="22">
        <v>100</v>
      </c>
      <c r="M67" s="22">
        <v>0</v>
      </c>
      <c r="N67" s="22">
        <f t="shared" si="3"/>
        <v>3.0000000000000001E-3</v>
      </c>
      <c r="O67" s="22" t="s">
        <v>986</v>
      </c>
      <c r="P67" s="21" t="s">
        <v>1522</v>
      </c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</row>
    <row r="68" spans="1:124" ht="15">
      <c r="A68" s="19"/>
      <c r="B68" s="20"/>
      <c r="C68" s="20"/>
      <c r="D68" s="21"/>
      <c r="E68" s="75"/>
      <c r="F68" s="22"/>
      <c r="G68" s="22"/>
      <c r="H68" s="19"/>
      <c r="I68" s="19" t="s">
        <v>1785</v>
      </c>
      <c r="J68" s="22">
        <v>4.7E-2</v>
      </c>
      <c r="K68" s="22">
        <v>1.9E-2</v>
      </c>
      <c r="L68" s="22">
        <v>86</v>
      </c>
      <c r="M68" s="22">
        <v>14</v>
      </c>
      <c r="N68" s="22">
        <f t="shared" si="3"/>
        <v>4.0419999999999998E-2</v>
      </c>
      <c r="O68" s="22" t="s">
        <v>986</v>
      </c>
      <c r="P68" s="21" t="s">
        <v>1522</v>
      </c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</row>
    <row r="69" spans="1:124" ht="15">
      <c r="A69" s="19"/>
      <c r="B69" s="20"/>
      <c r="C69" s="20"/>
      <c r="D69" s="21"/>
      <c r="E69" s="75"/>
      <c r="F69" s="22"/>
      <c r="G69" s="22"/>
      <c r="H69" s="19"/>
      <c r="I69" s="19" t="s">
        <v>1359</v>
      </c>
      <c r="J69" s="22">
        <v>0.125</v>
      </c>
      <c r="K69" s="22">
        <v>3.7999999999999999E-2</v>
      </c>
      <c r="L69" s="22">
        <v>68</v>
      </c>
      <c r="M69" s="22">
        <v>11</v>
      </c>
      <c r="N69" s="22">
        <f t="shared" si="3"/>
        <v>8.5000000000000006E-2</v>
      </c>
      <c r="O69" s="22" t="s">
        <v>986</v>
      </c>
      <c r="P69" s="21" t="s">
        <v>1522</v>
      </c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</row>
    <row r="70" spans="1:124" ht="15">
      <c r="A70" s="19"/>
      <c r="B70" s="20"/>
      <c r="C70" s="20"/>
      <c r="D70" s="21"/>
      <c r="E70" s="75"/>
      <c r="F70" s="22"/>
      <c r="G70" s="22"/>
      <c r="H70" s="19"/>
      <c r="I70" s="19" t="s">
        <v>1687</v>
      </c>
      <c r="J70" s="22">
        <v>7.6999999999999999E-2</v>
      </c>
      <c r="K70" s="22">
        <v>4.7E-2</v>
      </c>
      <c r="L70" s="22">
        <v>0</v>
      </c>
      <c r="M70" s="22">
        <v>0</v>
      </c>
      <c r="N70" s="22">
        <f t="shared" si="3"/>
        <v>0</v>
      </c>
      <c r="O70" s="22" t="s">
        <v>986</v>
      </c>
      <c r="P70" s="21" t="s">
        <v>1522</v>
      </c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</row>
    <row r="71" spans="1:124" ht="15">
      <c r="A71" s="19"/>
      <c r="B71" s="20"/>
      <c r="C71" s="20"/>
      <c r="D71" s="21"/>
      <c r="E71" s="75"/>
      <c r="F71" s="22"/>
      <c r="G71" s="22"/>
      <c r="H71" s="19"/>
      <c r="I71" s="19" t="s">
        <v>1523</v>
      </c>
      <c r="J71" s="22" t="s">
        <v>986</v>
      </c>
      <c r="K71" s="22" t="s">
        <v>986</v>
      </c>
      <c r="L71" s="22" t="s">
        <v>986</v>
      </c>
      <c r="M71" s="22" t="s">
        <v>986</v>
      </c>
      <c r="N71" s="22" t="s">
        <v>986</v>
      </c>
      <c r="O71" s="22" t="s">
        <v>986</v>
      </c>
      <c r="P71" s="21" t="s">
        <v>1522</v>
      </c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</row>
    <row r="72" spans="1:124" ht="15">
      <c r="A72" s="19"/>
      <c r="B72" s="20"/>
      <c r="C72" s="20"/>
      <c r="D72" s="21"/>
      <c r="E72" s="75"/>
      <c r="F72" s="22"/>
      <c r="G72" s="22"/>
      <c r="H72" s="19"/>
      <c r="I72" s="19" t="s">
        <v>1264</v>
      </c>
      <c r="J72" s="22">
        <v>0.249</v>
      </c>
      <c r="K72" s="22">
        <v>6.6000000000000003E-2</v>
      </c>
      <c r="L72" s="22">
        <v>40</v>
      </c>
      <c r="M72" s="22">
        <v>7</v>
      </c>
      <c r="N72" s="22">
        <f t="shared" ref="N72:N90" si="4">J72*(L72/100)</f>
        <v>9.9600000000000008E-2</v>
      </c>
      <c r="O72" s="22" t="s">
        <v>986</v>
      </c>
      <c r="P72" s="21" t="s">
        <v>1522</v>
      </c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</row>
    <row r="73" spans="1:124" ht="15">
      <c r="A73" s="19"/>
      <c r="B73" s="20"/>
      <c r="C73" s="20"/>
      <c r="D73" s="21"/>
      <c r="E73" s="75"/>
      <c r="F73" s="22"/>
      <c r="G73" s="22"/>
      <c r="H73" s="19"/>
      <c r="I73" s="19" t="s">
        <v>556</v>
      </c>
      <c r="J73" s="22">
        <v>3.9359999999999999</v>
      </c>
      <c r="K73" s="22">
        <v>0.29299999999999998</v>
      </c>
      <c r="L73" s="22">
        <v>96</v>
      </c>
      <c r="M73" s="22">
        <v>2</v>
      </c>
      <c r="N73" s="22">
        <f t="shared" si="4"/>
        <v>3.7785599999999997</v>
      </c>
      <c r="O73" s="22" t="s">
        <v>986</v>
      </c>
      <c r="P73" s="21" t="s">
        <v>1522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</row>
    <row r="74" spans="1:124" ht="15">
      <c r="A74" s="19" t="s">
        <v>41</v>
      </c>
      <c r="B74" s="20" t="s">
        <v>1346</v>
      </c>
      <c r="C74" s="20" t="s">
        <v>1347</v>
      </c>
      <c r="D74" s="21" t="s">
        <v>1724</v>
      </c>
      <c r="E74" s="75">
        <v>1992</v>
      </c>
      <c r="F74" s="22">
        <v>9</v>
      </c>
      <c r="G74" s="22">
        <v>18</v>
      </c>
      <c r="H74" s="19" t="s">
        <v>1550</v>
      </c>
      <c r="I74" s="19" t="s">
        <v>762</v>
      </c>
      <c r="J74" s="22">
        <v>1.302</v>
      </c>
      <c r="K74" s="22">
        <v>0.245</v>
      </c>
      <c r="L74" s="22">
        <v>99</v>
      </c>
      <c r="M74" s="22">
        <v>1</v>
      </c>
      <c r="N74" s="22">
        <f t="shared" si="4"/>
        <v>1.28898</v>
      </c>
      <c r="O74" s="22" t="s">
        <v>253</v>
      </c>
      <c r="P74" s="21" t="s">
        <v>1527</v>
      </c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</row>
    <row r="75" spans="1:124" ht="15">
      <c r="A75" s="19"/>
      <c r="B75" s="20"/>
      <c r="C75" s="20"/>
      <c r="D75" s="21"/>
      <c r="E75" s="75"/>
      <c r="F75" s="22"/>
      <c r="G75" s="22"/>
      <c r="H75" s="19"/>
      <c r="I75" s="19" t="s">
        <v>1741</v>
      </c>
      <c r="J75" s="22">
        <v>1.43</v>
      </c>
      <c r="K75" s="22">
        <v>0.24099999999999999</v>
      </c>
      <c r="L75" s="22">
        <v>100</v>
      </c>
      <c r="M75" s="22">
        <v>0</v>
      </c>
      <c r="N75" s="22">
        <f t="shared" si="4"/>
        <v>1.43</v>
      </c>
      <c r="O75" s="22" t="s">
        <v>253</v>
      </c>
      <c r="P75" s="21" t="s">
        <v>1527</v>
      </c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</row>
    <row r="76" spans="1:124" ht="15">
      <c r="A76" s="19"/>
      <c r="B76" s="20"/>
      <c r="C76" s="20"/>
      <c r="D76" s="21"/>
      <c r="E76" s="75"/>
      <c r="F76" s="22"/>
      <c r="G76" s="22"/>
      <c r="H76" s="19"/>
      <c r="I76" s="19" t="s">
        <v>1742</v>
      </c>
      <c r="J76" s="22">
        <v>0.13200000000000001</v>
      </c>
      <c r="K76" s="22">
        <v>0.02</v>
      </c>
      <c r="L76" s="22">
        <v>100</v>
      </c>
      <c r="M76" s="22">
        <v>0</v>
      </c>
      <c r="N76" s="22">
        <f t="shared" si="4"/>
        <v>0.13200000000000001</v>
      </c>
      <c r="O76" s="22" t="s">
        <v>253</v>
      </c>
      <c r="P76" s="21" t="s">
        <v>1527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</row>
    <row r="77" spans="1:124" ht="15">
      <c r="A77" s="19"/>
      <c r="B77" s="20"/>
      <c r="C77" s="20"/>
      <c r="D77" s="21"/>
      <c r="E77" s="75"/>
      <c r="F77" s="22"/>
      <c r="G77" s="22"/>
      <c r="H77" s="19"/>
      <c r="I77" s="19" t="s">
        <v>1743</v>
      </c>
      <c r="J77" s="22">
        <v>1.5609999999999999</v>
      </c>
      <c r="K77" s="22">
        <v>0.24199999999999999</v>
      </c>
      <c r="L77" s="22">
        <v>100</v>
      </c>
      <c r="M77" s="22">
        <v>0</v>
      </c>
      <c r="N77" s="22">
        <f t="shared" si="4"/>
        <v>1.5609999999999999</v>
      </c>
      <c r="O77" s="22" t="s">
        <v>253</v>
      </c>
      <c r="P77" s="21" t="s">
        <v>1527</v>
      </c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</row>
    <row r="78" spans="1:124" ht="15">
      <c r="A78" s="19"/>
      <c r="B78" s="20"/>
      <c r="C78" s="20"/>
      <c r="D78" s="21"/>
      <c r="E78" s="75"/>
      <c r="F78" s="22"/>
      <c r="G78" s="22"/>
      <c r="H78" s="19"/>
      <c r="I78" s="19" t="s">
        <v>1374</v>
      </c>
      <c r="J78" s="22">
        <v>6.7000000000000004E-2</v>
      </c>
      <c r="K78" s="22">
        <v>0.03</v>
      </c>
      <c r="L78" s="22">
        <v>100</v>
      </c>
      <c r="M78" s="22">
        <v>0</v>
      </c>
      <c r="N78" s="22">
        <f t="shared" si="4"/>
        <v>6.7000000000000004E-2</v>
      </c>
      <c r="O78" s="22" t="s">
        <v>253</v>
      </c>
      <c r="P78" s="21" t="s">
        <v>1527</v>
      </c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</row>
    <row r="79" spans="1:124" ht="15">
      <c r="A79" s="19"/>
      <c r="B79" s="20"/>
      <c r="C79" s="20"/>
      <c r="D79" s="21"/>
      <c r="E79" s="75"/>
      <c r="F79" s="22"/>
      <c r="G79" s="22"/>
      <c r="H79" s="19"/>
      <c r="I79" s="19" t="s">
        <v>1744</v>
      </c>
      <c r="J79" s="22">
        <v>1.7999999999999999E-2</v>
      </c>
      <c r="K79" s="22">
        <v>8.0000000000000002E-3</v>
      </c>
      <c r="L79" s="22">
        <v>75</v>
      </c>
      <c r="M79" s="22">
        <v>10</v>
      </c>
      <c r="N79" s="22">
        <f t="shared" si="4"/>
        <v>1.3499999999999998E-2</v>
      </c>
      <c r="O79" s="22" t="s">
        <v>253</v>
      </c>
      <c r="P79" s="21" t="s">
        <v>1527</v>
      </c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</row>
    <row r="80" spans="1:124" ht="15">
      <c r="A80" s="19"/>
      <c r="B80" s="20"/>
      <c r="C80" s="20"/>
      <c r="D80" s="21"/>
      <c r="E80" s="75"/>
      <c r="F80" s="22"/>
      <c r="G80" s="22"/>
      <c r="H80" s="19"/>
      <c r="I80" s="19" t="s">
        <v>1848</v>
      </c>
      <c r="J80" s="22">
        <v>0.13300000000000001</v>
      </c>
      <c r="K80" s="22">
        <v>3.4000000000000002E-2</v>
      </c>
      <c r="L80" s="22">
        <v>83</v>
      </c>
      <c r="M80" s="22">
        <v>5</v>
      </c>
      <c r="N80" s="22">
        <f t="shared" si="4"/>
        <v>0.11039</v>
      </c>
      <c r="O80" s="22" t="s">
        <v>253</v>
      </c>
      <c r="P80" s="21" t="s">
        <v>1527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</row>
    <row r="81" spans="1:124" ht="15">
      <c r="A81" s="19"/>
      <c r="B81" s="20"/>
      <c r="C81" s="20"/>
      <c r="D81" s="21"/>
      <c r="E81" s="75"/>
      <c r="F81" s="22"/>
      <c r="G81" s="22"/>
      <c r="H81" s="19"/>
      <c r="I81" s="19" t="s">
        <v>1542</v>
      </c>
      <c r="J81" s="22">
        <v>0.193</v>
      </c>
      <c r="K81" s="22">
        <v>0.05</v>
      </c>
      <c r="L81" s="22">
        <v>28</v>
      </c>
      <c r="M81" s="22">
        <v>8</v>
      </c>
      <c r="N81" s="22">
        <f t="shared" si="4"/>
        <v>5.4040000000000005E-2</v>
      </c>
      <c r="O81" s="22" t="s">
        <v>1543</v>
      </c>
      <c r="P81" s="21" t="s">
        <v>1527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</row>
    <row r="82" spans="1:124" ht="15">
      <c r="A82" s="19"/>
      <c r="B82" s="20"/>
      <c r="C82" s="20"/>
      <c r="D82" s="21"/>
      <c r="E82" s="75"/>
      <c r="F82" s="22"/>
      <c r="G82" s="22"/>
      <c r="H82" s="19"/>
      <c r="I82" s="19" t="s">
        <v>1745</v>
      </c>
      <c r="J82" s="22">
        <v>5.5E-2</v>
      </c>
      <c r="K82" s="22">
        <v>2.3E-2</v>
      </c>
      <c r="L82" s="22">
        <v>0</v>
      </c>
      <c r="M82" s="22">
        <v>0</v>
      </c>
      <c r="N82" s="22">
        <f t="shared" si="4"/>
        <v>0</v>
      </c>
      <c r="O82" s="22" t="s">
        <v>1543</v>
      </c>
      <c r="P82" s="21" t="s">
        <v>1527</v>
      </c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</row>
    <row r="83" spans="1:124" ht="15">
      <c r="A83" s="19"/>
      <c r="B83" s="20"/>
      <c r="C83" s="20"/>
      <c r="D83" s="21"/>
      <c r="E83" s="75"/>
      <c r="F83" s="22"/>
      <c r="G83" s="22"/>
      <c r="H83" s="19"/>
      <c r="I83" s="19" t="s">
        <v>1523</v>
      </c>
      <c r="J83" s="22">
        <v>0.56599999999999995</v>
      </c>
      <c r="K83" s="22">
        <v>0.56599999999999995</v>
      </c>
      <c r="L83" s="22">
        <v>50</v>
      </c>
      <c r="M83" s="22">
        <v>0</v>
      </c>
      <c r="N83" s="22">
        <f t="shared" si="4"/>
        <v>0.28299999999999997</v>
      </c>
      <c r="O83" s="22" t="s">
        <v>1543</v>
      </c>
      <c r="P83" s="21" t="s">
        <v>1527</v>
      </c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</row>
    <row r="84" spans="1:124" ht="15">
      <c r="A84" s="19"/>
      <c r="B84" s="20"/>
      <c r="C84" s="20"/>
      <c r="D84" s="21"/>
      <c r="E84" s="75"/>
      <c r="F84" s="22"/>
      <c r="G84" s="22"/>
      <c r="H84" s="19"/>
      <c r="I84" s="19" t="s">
        <v>1158</v>
      </c>
      <c r="J84" s="22">
        <v>0.94699999999999995</v>
      </c>
      <c r="K84" s="22">
        <v>0.57699999999999996</v>
      </c>
      <c r="L84" s="22">
        <v>47</v>
      </c>
      <c r="M84" s="22">
        <v>6</v>
      </c>
      <c r="N84" s="22">
        <f t="shared" si="4"/>
        <v>0.44508999999999993</v>
      </c>
      <c r="O84" s="22" t="s">
        <v>1543</v>
      </c>
      <c r="P84" s="21" t="s">
        <v>1527</v>
      </c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</row>
    <row r="85" spans="1:124" ht="15">
      <c r="A85" s="19"/>
      <c r="B85" s="20"/>
      <c r="C85" s="20"/>
      <c r="D85" s="21"/>
      <c r="E85" s="75"/>
      <c r="F85" s="22"/>
      <c r="G85" s="22"/>
      <c r="H85" s="19"/>
      <c r="I85" s="19" t="s">
        <v>556</v>
      </c>
      <c r="J85" s="22">
        <v>3.8919999999999999</v>
      </c>
      <c r="K85" s="22">
        <v>0.71</v>
      </c>
      <c r="L85" s="22">
        <v>91</v>
      </c>
      <c r="M85" s="22">
        <v>2</v>
      </c>
      <c r="N85" s="22">
        <f t="shared" si="4"/>
        <v>3.5417200000000002</v>
      </c>
      <c r="O85" s="22" t="s">
        <v>1543</v>
      </c>
      <c r="P85" s="21" t="s">
        <v>1527</v>
      </c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</row>
    <row r="86" spans="1:124" ht="15">
      <c r="A86" s="19" t="s">
        <v>41</v>
      </c>
      <c r="B86" s="20" t="s">
        <v>1346</v>
      </c>
      <c r="C86" s="20" t="s">
        <v>1347</v>
      </c>
      <c r="D86" s="21" t="s">
        <v>1746</v>
      </c>
      <c r="E86" s="75">
        <v>1992</v>
      </c>
      <c r="F86" s="22">
        <v>9</v>
      </c>
      <c r="G86" s="22">
        <v>24</v>
      </c>
      <c r="H86" s="19" t="s">
        <v>1550</v>
      </c>
      <c r="I86" s="19" t="s">
        <v>544</v>
      </c>
      <c r="J86" s="22">
        <v>2.222</v>
      </c>
      <c r="K86" s="22">
        <v>0.20599999999999999</v>
      </c>
      <c r="L86" s="22">
        <v>97</v>
      </c>
      <c r="M86" s="22">
        <v>2</v>
      </c>
      <c r="N86" s="22">
        <f t="shared" si="4"/>
        <v>2.1553399999999998</v>
      </c>
      <c r="O86" s="22" t="s">
        <v>1543</v>
      </c>
      <c r="P86" s="21" t="s">
        <v>1552</v>
      </c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</row>
    <row r="87" spans="1:124" ht="15">
      <c r="A87" s="19"/>
      <c r="B87" s="20"/>
      <c r="C87" s="20"/>
      <c r="D87" s="21"/>
      <c r="E87" s="75"/>
      <c r="F87" s="22"/>
      <c r="G87" s="22"/>
      <c r="H87" s="19"/>
      <c r="I87" s="19" t="s">
        <v>1741</v>
      </c>
      <c r="J87" s="22">
        <v>2.39</v>
      </c>
      <c r="K87" s="22">
        <v>0.27200000000000002</v>
      </c>
      <c r="L87" s="22">
        <v>100</v>
      </c>
      <c r="M87" s="22">
        <v>0</v>
      </c>
      <c r="N87" s="22">
        <f t="shared" si="4"/>
        <v>2.39</v>
      </c>
      <c r="O87" s="22" t="s">
        <v>253</v>
      </c>
      <c r="P87" s="21" t="s">
        <v>1552</v>
      </c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</row>
    <row r="88" spans="1:124" ht="15">
      <c r="A88" s="19"/>
      <c r="B88" s="20"/>
      <c r="C88" s="20"/>
      <c r="D88" s="21"/>
      <c r="E88" s="75"/>
      <c r="F88" s="22"/>
      <c r="G88" s="22"/>
      <c r="H88" s="19"/>
      <c r="I88" s="19" t="s">
        <v>1742</v>
      </c>
      <c r="J88" s="22">
        <v>0.28999999999999998</v>
      </c>
      <c r="K88" s="22">
        <v>8.9999999999999993E-3</v>
      </c>
      <c r="L88" s="22">
        <v>100</v>
      </c>
      <c r="M88" s="22">
        <v>0</v>
      </c>
      <c r="N88" s="22">
        <f t="shared" si="4"/>
        <v>0.28999999999999998</v>
      </c>
      <c r="O88" s="22" t="s">
        <v>253</v>
      </c>
      <c r="P88" s="21" t="s">
        <v>1552</v>
      </c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</row>
    <row r="89" spans="1:124" ht="15">
      <c r="A89" s="19"/>
      <c r="B89" s="20"/>
      <c r="C89" s="20"/>
      <c r="D89" s="21"/>
      <c r="E89" s="75"/>
      <c r="F89" s="22"/>
      <c r="G89" s="22"/>
      <c r="H89" s="19"/>
      <c r="I89" s="19" t="s">
        <v>1743</v>
      </c>
      <c r="J89" s="22">
        <v>2.419</v>
      </c>
      <c r="K89" s="22">
        <v>0.27300000000000002</v>
      </c>
      <c r="L89" s="22">
        <v>100</v>
      </c>
      <c r="M89" s="22">
        <v>0</v>
      </c>
      <c r="N89" s="22">
        <f t="shared" si="4"/>
        <v>2.419</v>
      </c>
      <c r="O89" s="22" t="s">
        <v>253</v>
      </c>
      <c r="P89" s="21" t="s">
        <v>1552</v>
      </c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</row>
    <row r="90" spans="1:124" ht="15">
      <c r="A90" s="19"/>
      <c r="B90" s="20"/>
      <c r="C90" s="20"/>
      <c r="D90" s="21"/>
      <c r="E90" s="75"/>
      <c r="F90" s="22"/>
      <c r="G90" s="22"/>
      <c r="H90" s="19"/>
      <c r="I90" s="19" t="s">
        <v>1374</v>
      </c>
      <c r="J90" s="22">
        <v>7.0000000000000001E-3</v>
      </c>
      <c r="K90" s="22">
        <v>4.0000000000000001E-3</v>
      </c>
      <c r="L90" s="22">
        <v>100</v>
      </c>
      <c r="M90" s="22">
        <v>0</v>
      </c>
      <c r="N90" s="22">
        <f t="shared" si="4"/>
        <v>7.0000000000000001E-3</v>
      </c>
      <c r="O90" s="22" t="s">
        <v>253</v>
      </c>
      <c r="P90" s="21" t="s">
        <v>1552</v>
      </c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</row>
    <row r="91" spans="1:124" ht="15">
      <c r="A91" s="19"/>
      <c r="B91" s="20"/>
      <c r="C91" s="20"/>
      <c r="D91" s="21"/>
      <c r="E91" s="75"/>
      <c r="F91" s="22"/>
      <c r="G91" s="22"/>
      <c r="H91" s="19"/>
      <c r="I91" s="19" t="s">
        <v>1744</v>
      </c>
      <c r="J91" s="22" t="s">
        <v>253</v>
      </c>
      <c r="K91" s="22" t="s">
        <v>253</v>
      </c>
      <c r="L91" s="22" t="s">
        <v>253</v>
      </c>
      <c r="M91" s="22" t="s">
        <v>253</v>
      </c>
      <c r="N91" s="22" t="s">
        <v>253</v>
      </c>
      <c r="O91" s="22" t="s">
        <v>253</v>
      </c>
      <c r="P91" s="21" t="s">
        <v>1552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</row>
    <row r="92" spans="1:124" ht="15">
      <c r="A92" s="19"/>
      <c r="B92" s="20"/>
      <c r="C92" s="20"/>
      <c r="D92" s="21"/>
      <c r="E92" s="75"/>
      <c r="F92" s="22"/>
      <c r="G92" s="22"/>
      <c r="H92" s="19"/>
      <c r="I92" s="19" t="s">
        <v>1785</v>
      </c>
      <c r="J92" s="22">
        <v>0.19600000000000001</v>
      </c>
      <c r="K92" s="22">
        <v>5.0999999999999997E-2</v>
      </c>
      <c r="L92" s="22">
        <v>83</v>
      </c>
      <c r="M92" s="22">
        <v>5</v>
      </c>
      <c r="N92" s="22">
        <f t="shared" ref="N92:N106" si="5">J92*(L92/100)</f>
        <v>0.16267999999999999</v>
      </c>
      <c r="O92" s="22" t="s">
        <v>253</v>
      </c>
      <c r="P92" s="21" t="s">
        <v>1552</v>
      </c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</row>
    <row r="93" spans="1:124" ht="15">
      <c r="A93" s="19"/>
      <c r="B93" s="20"/>
      <c r="C93" s="20"/>
      <c r="D93" s="21"/>
      <c r="E93" s="75"/>
      <c r="F93" s="22"/>
      <c r="G93" s="22"/>
      <c r="H93" s="19"/>
      <c r="I93" s="19" t="s">
        <v>1740</v>
      </c>
      <c r="J93" s="22">
        <v>0.32600000000000001</v>
      </c>
      <c r="K93" s="22">
        <v>7.8E-2</v>
      </c>
      <c r="L93" s="22">
        <v>49</v>
      </c>
      <c r="M93" s="22">
        <v>10</v>
      </c>
      <c r="N93" s="22">
        <f t="shared" si="5"/>
        <v>0.15973999999999999</v>
      </c>
      <c r="O93" s="22" t="s">
        <v>253</v>
      </c>
      <c r="P93" s="21" t="s">
        <v>1552</v>
      </c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</row>
    <row r="94" spans="1:124" ht="15">
      <c r="A94" s="19"/>
      <c r="B94" s="20"/>
      <c r="C94" s="20"/>
      <c r="D94" s="21"/>
      <c r="E94" s="75"/>
      <c r="F94" s="22"/>
      <c r="G94" s="22"/>
      <c r="H94" s="19"/>
      <c r="I94" s="19" t="s">
        <v>1745</v>
      </c>
      <c r="J94" s="22">
        <v>0.13200000000000001</v>
      </c>
      <c r="K94" s="22">
        <v>3.7999999999999999E-2</v>
      </c>
      <c r="L94" s="22">
        <v>15</v>
      </c>
      <c r="M94" s="22">
        <v>11</v>
      </c>
      <c r="N94" s="22">
        <f t="shared" si="5"/>
        <v>1.9800000000000002E-2</v>
      </c>
      <c r="O94" s="22" t="s">
        <v>253</v>
      </c>
      <c r="P94" s="21" t="s">
        <v>1552</v>
      </c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</row>
    <row r="95" spans="1:124" ht="15">
      <c r="A95" s="19"/>
      <c r="B95" s="20"/>
      <c r="C95" s="20"/>
      <c r="D95" s="21"/>
      <c r="E95" s="75"/>
      <c r="F95" s="22"/>
      <c r="G95" s="22"/>
      <c r="H95" s="19"/>
      <c r="I95" s="19" t="s">
        <v>1644</v>
      </c>
      <c r="J95" s="22">
        <v>0.189</v>
      </c>
      <c r="K95" s="22">
        <v>0.189</v>
      </c>
      <c r="L95" s="22">
        <v>0</v>
      </c>
      <c r="M95" s="22">
        <v>0</v>
      </c>
      <c r="N95" s="22">
        <f t="shared" si="5"/>
        <v>0</v>
      </c>
      <c r="O95" s="22" t="s">
        <v>253</v>
      </c>
      <c r="P95" s="21" t="s">
        <v>1552</v>
      </c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</row>
    <row r="96" spans="1:124" ht="15">
      <c r="A96" s="19"/>
      <c r="B96" s="20"/>
      <c r="C96" s="20"/>
      <c r="D96" s="21"/>
      <c r="E96" s="75"/>
      <c r="F96" s="22"/>
      <c r="G96" s="22"/>
      <c r="H96" s="19"/>
      <c r="I96" s="19" t="s">
        <v>1158</v>
      </c>
      <c r="J96" s="22">
        <v>0.84399999999999997</v>
      </c>
      <c r="K96" s="22">
        <v>0.25</v>
      </c>
      <c r="L96" s="22">
        <v>32</v>
      </c>
      <c r="M96" s="22">
        <v>7</v>
      </c>
      <c r="N96" s="22">
        <f t="shared" si="5"/>
        <v>0.27007999999999999</v>
      </c>
      <c r="O96" s="22" t="s">
        <v>253</v>
      </c>
      <c r="P96" s="21" t="s">
        <v>1552</v>
      </c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</row>
    <row r="97" spans="1:124" ht="15">
      <c r="A97" s="19"/>
      <c r="B97" s="20"/>
      <c r="C97" s="20"/>
      <c r="D97" s="21"/>
      <c r="E97" s="75"/>
      <c r="F97" s="22"/>
      <c r="G97" s="22"/>
      <c r="H97" s="19"/>
      <c r="I97" s="19" t="s">
        <v>556</v>
      </c>
      <c r="J97" s="22">
        <v>5.492</v>
      </c>
      <c r="K97" s="22">
        <v>0.47</v>
      </c>
      <c r="L97" s="22">
        <v>90</v>
      </c>
      <c r="M97" s="22">
        <v>2</v>
      </c>
      <c r="N97" s="22">
        <f t="shared" si="5"/>
        <v>4.9428000000000001</v>
      </c>
      <c r="O97" s="22" t="s">
        <v>253</v>
      </c>
      <c r="P97" s="21" t="s">
        <v>1552</v>
      </c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</row>
    <row r="98" spans="1:124" ht="15">
      <c r="A98" s="19" t="s">
        <v>41</v>
      </c>
      <c r="B98" s="20" t="s">
        <v>1346</v>
      </c>
      <c r="C98" s="20" t="s">
        <v>1347</v>
      </c>
      <c r="D98" s="21" t="s">
        <v>1645</v>
      </c>
      <c r="E98" s="75">
        <v>1992</v>
      </c>
      <c r="F98" s="22">
        <v>9</v>
      </c>
      <c r="G98" s="22">
        <v>22</v>
      </c>
      <c r="H98" s="19" t="s">
        <v>1550</v>
      </c>
      <c r="I98" s="19" t="s">
        <v>762</v>
      </c>
      <c r="J98" s="22">
        <v>4.3970000000000002</v>
      </c>
      <c r="K98" s="22">
        <v>0.35799999999999998</v>
      </c>
      <c r="L98" s="22">
        <v>91</v>
      </c>
      <c r="M98" s="22">
        <v>3</v>
      </c>
      <c r="N98" s="22">
        <f t="shared" si="5"/>
        <v>4.0012700000000008</v>
      </c>
      <c r="O98" s="22" t="s">
        <v>253</v>
      </c>
      <c r="P98" s="21" t="s">
        <v>1569</v>
      </c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</row>
    <row r="99" spans="1:124" ht="15">
      <c r="A99" s="19"/>
      <c r="B99" s="20"/>
      <c r="C99" s="20"/>
      <c r="D99" s="21"/>
      <c r="E99" s="75"/>
      <c r="F99" s="22"/>
      <c r="G99" s="22"/>
      <c r="H99" s="19"/>
      <c r="I99" s="19" t="s">
        <v>1741</v>
      </c>
      <c r="J99" s="22">
        <v>1.31</v>
      </c>
      <c r="K99" s="22">
        <v>0.17399999999999999</v>
      </c>
      <c r="L99" s="22">
        <v>96</v>
      </c>
      <c r="M99" s="22">
        <v>2</v>
      </c>
      <c r="N99" s="22">
        <f t="shared" si="5"/>
        <v>1.2576000000000001</v>
      </c>
      <c r="O99" s="22" t="s">
        <v>253</v>
      </c>
      <c r="P99" s="21" t="s">
        <v>1569</v>
      </c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</row>
    <row r="100" spans="1:124" ht="15">
      <c r="A100" s="19"/>
      <c r="B100" s="20"/>
      <c r="C100" s="20"/>
      <c r="D100" s="21"/>
      <c r="E100" s="75"/>
      <c r="F100" s="22"/>
      <c r="G100" s="22"/>
      <c r="H100" s="19"/>
      <c r="I100" s="19" t="s">
        <v>1742</v>
      </c>
      <c r="J100" s="22">
        <v>5.3999999999999999E-2</v>
      </c>
      <c r="K100" s="22">
        <v>1.9E-2</v>
      </c>
      <c r="L100" s="22">
        <v>100</v>
      </c>
      <c r="M100" s="22">
        <v>0</v>
      </c>
      <c r="N100" s="22">
        <f t="shared" si="5"/>
        <v>5.3999999999999999E-2</v>
      </c>
      <c r="O100" s="22" t="s">
        <v>253</v>
      </c>
      <c r="P100" s="21" t="s">
        <v>1569</v>
      </c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</row>
    <row r="101" spans="1:124" ht="15">
      <c r="A101" s="19"/>
      <c r="B101" s="20"/>
      <c r="C101" s="20"/>
      <c r="D101" s="21"/>
      <c r="E101" s="75"/>
      <c r="F101" s="22"/>
      <c r="G101" s="22"/>
      <c r="H101" s="19"/>
      <c r="I101" s="19" t="s">
        <v>1743</v>
      </c>
      <c r="J101" s="22">
        <v>1.3640000000000001</v>
      </c>
      <c r="K101" s="22">
        <v>0.17299999999999999</v>
      </c>
      <c r="L101" s="22">
        <v>96</v>
      </c>
      <c r="M101" s="22">
        <v>9</v>
      </c>
      <c r="N101" s="22">
        <f t="shared" si="5"/>
        <v>1.3094400000000002</v>
      </c>
      <c r="O101" s="22" t="s">
        <v>253</v>
      </c>
      <c r="P101" s="21" t="s">
        <v>1569</v>
      </c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</row>
    <row r="102" spans="1:124" ht="15">
      <c r="A102" s="19"/>
      <c r="B102" s="20"/>
      <c r="C102" s="20"/>
      <c r="D102" s="21"/>
      <c r="E102" s="75"/>
      <c r="F102" s="22"/>
      <c r="G102" s="22"/>
      <c r="H102" s="19"/>
      <c r="I102" s="19" t="s">
        <v>1374</v>
      </c>
      <c r="J102" s="22">
        <v>6.5000000000000002E-2</v>
      </c>
      <c r="K102" s="22">
        <v>2.3E-2</v>
      </c>
      <c r="L102" s="22">
        <v>92</v>
      </c>
      <c r="M102" s="22">
        <v>5</v>
      </c>
      <c r="N102" s="22">
        <f t="shared" si="5"/>
        <v>5.9800000000000006E-2</v>
      </c>
      <c r="O102" s="22" t="s">
        <v>253</v>
      </c>
      <c r="P102" s="21" t="s">
        <v>1569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</row>
    <row r="103" spans="1:124" ht="15">
      <c r="A103" s="19"/>
      <c r="B103" s="20"/>
      <c r="C103" s="20"/>
      <c r="D103" s="21"/>
      <c r="E103" s="75"/>
      <c r="F103" s="22"/>
      <c r="G103" s="22"/>
      <c r="H103" s="19"/>
      <c r="I103" s="19" t="s">
        <v>1744</v>
      </c>
      <c r="J103" s="22">
        <v>6.0999999999999999E-2</v>
      </c>
      <c r="K103" s="22">
        <v>8.0000000000000002E-3</v>
      </c>
      <c r="L103" s="22">
        <v>90</v>
      </c>
      <c r="M103" s="22">
        <v>3</v>
      </c>
      <c r="N103" s="22">
        <f t="shared" si="5"/>
        <v>5.4899999999999997E-2</v>
      </c>
      <c r="O103" s="22" t="s">
        <v>253</v>
      </c>
      <c r="P103" s="21" t="s">
        <v>1569</v>
      </c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</row>
    <row r="104" spans="1:124" ht="15">
      <c r="A104" s="19"/>
      <c r="B104" s="20"/>
      <c r="C104" s="20"/>
      <c r="D104" s="21"/>
      <c r="E104" s="75"/>
      <c r="F104" s="22"/>
      <c r="G104" s="22"/>
      <c r="H104" s="19"/>
      <c r="I104" s="19" t="s">
        <v>1848</v>
      </c>
      <c r="J104" s="22">
        <v>0.58399999999999996</v>
      </c>
      <c r="K104" s="22">
        <v>0.12</v>
      </c>
      <c r="L104" s="22">
        <v>75</v>
      </c>
      <c r="M104" s="22">
        <v>7</v>
      </c>
      <c r="N104" s="22">
        <f t="shared" si="5"/>
        <v>0.43799999999999994</v>
      </c>
      <c r="O104" s="22" t="s">
        <v>253</v>
      </c>
      <c r="P104" s="21" t="s">
        <v>1569</v>
      </c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</row>
    <row r="105" spans="1:124" ht="15">
      <c r="A105" s="19"/>
      <c r="B105" s="20"/>
      <c r="C105" s="20"/>
      <c r="D105" s="21"/>
      <c r="E105" s="75"/>
      <c r="F105" s="22"/>
      <c r="G105" s="22"/>
      <c r="H105" s="19"/>
      <c r="I105" s="19" t="s">
        <v>1740</v>
      </c>
      <c r="J105" s="22">
        <v>0.54400000000000004</v>
      </c>
      <c r="K105" s="22">
        <v>9.2999999999999999E-2</v>
      </c>
      <c r="L105" s="22">
        <v>42</v>
      </c>
      <c r="M105" s="22">
        <v>7</v>
      </c>
      <c r="N105" s="22">
        <f t="shared" si="5"/>
        <v>0.22848000000000002</v>
      </c>
      <c r="O105" s="22" t="s">
        <v>253</v>
      </c>
      <c r="P105" s="21" t="s">
        <v>1569</v>
      </c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</row>
    <row r="106" spans="1:124" ht="15">
      <c r="A106" s="19"/>
      <c r="B106" s="20"/>
      <c r="C106" s="20"/>
      <c r="D106" s="21"/>
      <c r="E106" s="75"/>
      <c r="F106" s="22"/>
      <c r="G106" s="22"/>
      <c r="H106" s="19"/>
      <c r="I106" s="19" t="s">
        <v>1745</v>
      </c>
      <c r="J106" s="22">
        <v>9.9000000000000005E-2</v>
      </c>
      <c r="K106" s="22">
        <v>3.5999999999999997E-2</v>
      </c>
      <c r="L106" s="22">
        <v>29</v>
      </c>
      <c r="M106" s="22">
        <v>18</v>
      </c>
      <c r="N106" s="22">
        <f t="shared" si="5"/>
        <v>2.8709999999999999E-2</v>
      </c>
      <c r="O106" s="22" t="s">
        <v>253</v>
      </c>
      <c r="P106" s="21" t="s">
        <v>1569</v>
      </c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</row>
    <row r="107" spans="1:124" ht="15">
      <c r="A107" s="19"/>
      <c r="B107" s="20"/>
      <c r="C107" s="20"/>
      <c r="D107" s="21"/>
      <c r="E107" s="75"/>
      <c r="F107" s="22"/>
      <c r="G107" s="22"/>
      <c r="H107" s="19"/>
      <c r="I107" s="19" t="s">
        <v>1523</v>
      </c>
      <c r="J107" s="22" t="s">
        <v>253</v>
      </c>
      <c r="K107" s="22" t="s">
        <v>253</v>
      </c>
      <c r="L107" s="22" t="s">
        <v>253</v>
      </c>
      <c r="M107" s="22" t="s">
        <v>253</v>
      </c>
      <c r="N107" s="22" t="s">
        <v>253</v>
      </c>
      <c r="O107" s="22" t="s">
        <v>253</v>
      </c>
      <c r="P107" s="21" t="s">
        <v>1569</v>
      </c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</row>
    <row r="108" spans="1:124" ht="15">
      <c r="A108" s="19"/>
      <c r="B108" s="20"/>
      <c r="C108" s="20"/>
      <c r="D108" s="21"/>
      <c r="E108" s="75"/>
      <c r="F108" s="22"/>
      <c r="G108" s="22"/>
      <c r="H108" s="19"/>
      <c r="I108" s="19" t="s">
        <v>1264</v>
      </c>
      <c r="J108" s="22">
        <v>1.2270000000000001</v>
      </c>
      <c r="K108" s="22">
        <v>0.20699999999999999</v>
      </c>
      <c r="L108" s="22">
        <v>49</v>
      </c>
      <c r="M108" s="22">
        <v>5</v>
      </c>
      <c r="N108" s="22">
        <f>J108*(L108/100)</f>
        <v>0.60123000000000004</v>
      </c>
      <c r="O108" s="22" t="s">
        <v>253</v>
      </c>
      <c r="P108" s="21" t="s">
        <v>1569</v>
      </c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</row>
    <row r="109" spans="1:124" ht="16" thickBot="1">
      <c r="A109" s="19"/>
      <c r="B109" s="20"/>
      <c r="C109" s="20"/>
      <c r="D109" s="21"/>
      <c r="E109" s="75"/>
      <c r="F109" s="22"/>
      <c r="G109" s="22"/>
      <c r="H109" s="19"/>
      <c r="I109" s="38" t="s">
        <v>556</v>
      </c>
      <c r="J109" s="45">
        <v>7.0839999999999996</v>
      </c>
      <c r="K109" s="45">
        <v>0.38400000000000001</v>
      </c>
      <c r="L109" s="45">
        <v>83</v>
      </c>
      <c r="M109" s="45">
        <v>3</v>
      </c>
      <c r="N109" s="45">
        <f>J109*(L109/100)</f>
        <v>5.8797199999999998</v>
      </c>
      <c r="O109" s="45" t="s">
        <v>253</v>
      </c>
      <c r="P109" s="21" t="s">
        <v>1569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</row>
    <row r="110" spans="1:124" s="148" customFormat="1" ht="15">
      <c r="A110" s="3"/>
      <c r="B110" s="147"/>
      <c r="C110" s="147"/>
      <c r="D110" s="1"/>
      <c r="E110" s="74"/>
      <c r="F110" s="74"/>
      <c r="G110" s="74"/>
      <c r="H110" s="3"/>
      <c r="I110" s="47" t="s">
        <v>762</v>
      </c>
      <c r="J110" s="51">
        <f t="shared" ref="J110:J121" si="6">ROUND(AVERAGE(J2,J14,J26,J38,J50,J62,J74,J86,J98),1)</f>
        <v>1.7</v>
      </c>
      <c r="K110" s="51">
        <f t="shared" ref="K110:K121" si="7">ROUND(STDEV(J2,J14,J26,J38,J50,J62,J74,J86,J98),1)</f>
        <v>1.1000000000000001</v>
      </c>
      <c r="L110" s="51">
        <f t="shared" ref="L110:L121" si="8">ROUND(AVERAGE(L2,L14,L26,L38,L50,L62,L74,L86,L98),1)</f>
        <v>90.3</v>
      </c>
      <c r="M110" s="51">
        <f t="shared" ref="M110:M121" si="9">ROUND(STDEV(L2,L14,L26,L38,L50,L62,L74,L86,L98),1)</f>
        <v>11.2</v>
      </c>
      <c r="N110" s="51">
        <f t="shared" ref="N110:N121" si="10">ROUND(AVERAGE(N2,N14,N26,N38,N50,N62,N74,N86,N98),1)</f>
        <v>1.6</v>
      </c>
      <c r="O110" s="52">
        <f t="shared" ref="O110:O121" si="11">ROUND(STDEV(N2,N14,N26,N38,N50,N62,N74,N86,N98),1)</f>
        <v>1</v>
      </c>
      <c r="P110" s="1"/>
    </row>
    <row r="111" spans="1:124" s="1" customFormat="1" ht="15">
      <c r="A111" s="3"/>
      <c r="B111" s="147"/>
      <c r="C111" s="147"/>
      <c r="E111" s="74"/>
      <c r="F111" s="74"/>
      <c r="G111" s="74"/>
      <c r="H111" s="3"/>
      <c r="I111" s="48" t="s">
        <v>1741</v>
      </c>
      <c r="J111" s="53">
        <f t="shared" si="6"/>
        <v>1.4</v>
      </c>
      <c r="K111" s="53">
        <f t="shared" si="7"/>
        <v>0.7</v>
      </c>
      <c r="L111" s="53">
        <f t="shared" si="8"/>
        <v>99.2</v>
      </c>
      <c r="M111" s="53">
        <f t="shared" si="9"/>
        <v>1.6</v>
      </c>
      <c r="N111" s="53">
        <f t="shared" si="10"/>
        <v>1.4</v>
      </c>
      <c r="O111" s="54">
        <f t="shared" si="11"/>
        <v>0.7</v>
      </c>
    </row>
    <row r="112" spans="1:124" s="1" customFormat="1" ht="15">
      <c r="A112" s="3"/>
      <c r="B112" s="147"/>
      <c r="C112" s="147"/>
      <c r="E112" s="74"/>
      <c r="F112" s="74"/>
      <c r="G112" s="74"/>
      <c r="H112" s="3"/>
      <c r="I112" s="48" t="s">
        <v>1742</v>
      </c>
      <c r="J112" s="53">
        <f t="shared" si="6"/>
        <v>0.3</v>
      </c>
      <c r="K112" s="53">
        <f t="shared" si="7"/>
        <v>0.5</v>
      </c>
      <c r="L112" s="53">
        <f t="shared" si="8"/>
        <v>97.3</v>
      </c>
      <c r="M112" s="53">
        <f t="shared" si="9"/>
        <v>4.5999999999999996</v>
      </c>
      <c r="N112" s="53">
        <f t="shared" si="10"/>
        <v>0.3</v>
      </c>
      <c r="O112" s="54">
        <f t="shared" si="11"/>
        <v>0.4</v>
      </c>
    </row>
    <row r="113" spans="1:124" s="1" customFormat="1" ht="15">
      <c r="A113" s="3"/>
      <c r="B113" s="147"/>
      <c r="C113" s="147"/>
      <c r="E113" s="74"/>
      <c r="F113" s="74"/>
      <c r="G113" s="74"/>
      <c r="H113" s="3"/>
      <c r="I113" s="48" t="s">
        <v>1743</v>
      </c>
      <c r="J113" s="53">
        <f t="shared" si="6"/>
        <v>1.6</v>
      </c>
      <c r="K113" s="53">
        <f t="shared" si="7"/>
        <v>0.7</v>
      </c>
      <c r="L113" s="53">
        <f t="shared" si="8"/>
        <v>98.4</v>
      </c>
      <c r="M113" s="53">
        <f t="shared" si="9"/>
        <v>2.2000000000000002</v>
      </c>
      <c r="N113" s="53">
        <f t="shared" si="10"/>
        <v>1.6</v>
      </c>
      <c r="O113" s="54">
        <f t="shared" si="11"/>
        <v>0.7</v>
      </c>
    </row>
    <row r="114" spans="1:124" s="1" customFormat="1" ht="15">
      <c r="A114" s="3"/>
      <c r="B114" s="147"/>
      <c r="C114" s="147"/>
      <c r="E114" s="74"/>
      <c r="F114" s="74"/>
      <c r="G114" s="74"/>
      <c r="H114" s="3"/>
      <c r="I114" s="48" t="s">
        <v>1374</v>
      </c>
      <c r="J114" s="53">
        <f t="shared" si="6"/>
        <v>0.1</v>
      </c>
      <c r="K114" s="53">
        <f t="shared" si="7"/>
        <v>0.1</v>
      </c>
      <c r="L114" s="53">
        <f t="shared" si="8"/>
        <v>94.4</v>
      </c>
      <c r="M114" s="53">
        <f t="shared" si="9"/>
        <v>5.9</v>
      </c>
      <c r="N114" s="53">
        <f t="shared" si="10"/>
        <v>0.1</v>
      </c>
      <c r="O114" s="54">
        <f t="shared" si="11"/>
        <v>0.1</v>
      </c>
    </row>
    <row r="115" spans="1:124" s="1" customFormat="1" ht="15">
      <c r="A115" s="3"/>
      <c r="B115" s="147"/>
      <c r="C115" s="147"/>
      <c r="E115" s="74"/>
      <c r="F115" s="74"/>
      <c r="G115" s="74"/>
      <c r="H115" s="3"/>
      <c r="I115" s="48" t="s">
        <v>1744</v>
      </c>
      <c r="J115" s="53">
        <f t="shared" si="6"/>
        <v>0</v>
      </c>
      <c r="K115" s="53">
        <f t="shared" si="7"/>
        <v>0</v>
      </c>
      <c r="L115" s="53">
        <f t="shared" si="8"/>
        <v>64.3</v>
      </c>
      <c r="M115" s="53">
        <f t="shared" si="9"/>
        <v>32.200000000000003</v>
      </c>
      <c r="N115" s="53">
        <f t="shared" si="10"/>
        <v>0</v>
      </c>
      <c r="O115" s="54">
        <f t="shared" si="11"/>
        <v>0</v>
      </c>
    </row>
    <row r="116" spans="1:124" s="1" customFormat="1" ht="15">
      <c r="A116" s="3"/>
      <c r="B116" s="147"/>
      <c r="C116" s="147"/>
      <c r="E116" s="74"/>
      <c r="F116" s="74"/>
      <c r="G116" s="74"/>
      <c r="H116" s="3"/>
      <c r="I116" s="48" t="s">
        <v>1848</v>
      </c>
      <c r="J116" s="53">
        <f t="shared" si="6"/>
        <v>0.3</v>
      </c>
      <c r="K116" s="53">
        <f t="shared" si="7"/>
        <v>0.2</v>
      </c>
      <c r="L116" s="53">
        <f t="shared" si="8"/>
        <v>60.3</v>
      </c>
      <c r="M116" s="53">
        <f t="shared" si="9"/>
        <v>28</v>
      </c>
      <c r="N116" s="53">
        <f t="shared" si="10"/>
        <v>0.1</v>
      </c>
      <c r="O116" s="54">
        <f t="shared" si="11"/>
        <v>0.1</v>
      </c>
    </row>
    <row r="117" spans="1:124" s="1" customFormat="1" ht="15">
      <c r="A117" s="3"/>
      <c r="B117" s="147"/>
      <c r="C117" s="147"/>
      <c r="E117" s="74"/>
      <c r="F117" s="74"/>
      <c r="G117" s="74"/>
      <c r="H117" s="3"/>
      <c r="I117" s="48" t="s">
        <v>1740</v>
      </c>
      <c r="J117" s="53">
        <f t="shared" si="6"/>
        <v>0.3</v>
      </c>
      <c r="K117" s="53">
        <f t="shared" si="7"/>
        <v>0.2</v>
      </c>
      <c r="L117" s="53">
        <f t="shared" si="8"/>
        <v>33.6</v>
      </c>
      <c r="M117" s="53">
        <f t="shared" si="9"/>
        <v>22.4</v>
      </c>
      <c r="N117" s="53">
        <f t="shared" si="10"/>
        <v>0.1</v>
      </c>
      <c r="O117" s="54">
        <f t="shared" si="11"/>
        <v>0.1</v>
      </c>
    </row>
    <row r="118" spans="1:124" s="1" customFormat="1" ht="15">
      <c r="A118" s="3"/>
      <c r="B118" s="147"/>
      <c r="C118" s="147"/>
      <c r="E118" s="74"/>
      <c r="F118" s="74"/>
      <c r="G118" s="74"/>
      <c r="H118" s="3"/>
      <c r="I118" s="48" t="s">
        <v>1745</v>
      </c>
      <c r="J118" s="53">
        <f t="shared" si="6"/>
        <v>0.2</v>
      </c>
      <c r="K118" s="53">
        <f t="shared" si="7"/>
        <v>0.1</v>
      </c>
      <c r="L118" s="53">
        <f t="shared" si="8"/>
        <v>13.9</v>
      </c>
      <c r="M118" s="53">
        <f t="shared" si="9"/>
        <v>27.1</v>
      </c>
      <c r="N118" s="53">
        <f t="shared" si="10"/>
        <v>0</v>
      </c>
      <c r="O118" s="54">
        <f t="shared" si="11"/>
        <v>0</v>
      </c>
    </row>
    <row r="119" spans="1:124" s="1" customFormat="1" ht="15">
      <c r="A119" s="3"/>
      <c r="B119" s="147"/>
      <c r="C119" s="147"/>
      <c r="E119" s="74"/>
      <c r="F119" s="74"/>
      <c r="G119" s="74"/>
      <c r="H119" s="3"/>
      <c r="I119" s="48" t="s">
        <v>1523</v>
      </c>
      <c r="J119" s="53">
        <f t="shared" si="6"/>
        <v>0.4</v>
      </c>
      <c r="K119" s="53">
        <f t="shared" si="7"/>
        <v>0.2</v>
      </c>
      <c r="L119" s="53">
        <f t="shared" si="8"/>
        <v>8.3000000000000007</v>
      </c>
      <c r="M119" s="53">
        <f t="shared" si="9"/>
        <v>20.399999999999999</v>
      </c>
      <c r="N119" s="53">
        <f t="shared" si="10"/>
        <v>0</v>
      </c>
      <c r="O119" s="54">
        <f t="shared" si="11"/>
        <v>0.1</v>
      </c>
    </row>
    <row r="120" spans="1:124" ht="15">
      <c r="I120" s="48" t="s">
        <v>1158</v>
      </c>
      <c r="J120" s="53">
        <f t="shared" si="6"/>
        <v>1</v>
      </c>
      <c r="K120" s="53">
        <f t="shared" si="7"/>
        <v>0.5</v>
      </c>
      <c r="L120" s="53">
        <f t="shared" si="8"/>
        <v>34.1</v>
      </c>
      <c r="M120" s="53">
        <f t="shared" si="9"/>
        <v>18.7</v>
      </c>
      <c r="N120" s="53">
        <f t="shared" si="10"/>
        <v>0.3</v>
      </c>
      <c r="O120" s="54">
        <f t="shared" si="11"/>
        <v>0.2</v>
      </c>
    </row>
    <row r="121" spans="1:124" ht="16" thickBot="1">
      <c r="I121" s="49" t="s">
        <v>556</v>
      </c>
      <c r="J121" s="55">
        <f t="shared" si="6"/>
        <v>4.4000000000000004</v>
      </c>
      <c r="K121" s="55">
        <f t="shared" si="7"/>
        <v>1.4</v>
      </c>
      <c r="L121" s="55">
        <f t="shared" si="8"/>
        <v>79.8</v>
      </c>
      <c r="M121" s="55">
        <f t="shared" si="9"/>
        <v>15.9</v>
      </c>
      <c r="N121" s="55">
        <f t="shared" si="10"/>
        <v>3.5</v>
      </c>
      <c r="O121" s="56">
        <f t="shared" si="11"/>
        <v>1.4</v>
      </c>
    </row>
    <row r="122" spans="1:124">
      <c r="I122" s="50"/>
    </row>
    <row r="123" spans="1:124" ht="15">
      <c r="A123" s="19" t="s">
        <v>41</v>
      </c>
      <c r="B123" s="20" t="s">
        <v>1570</v>
      </c>
      <c r="C123" s="20" t="s">
        <v>1571</v>
      </c>
      <c r="D123" s="21" t="s">
        <v>1572</v>
      </c>
      <c r="E123" s="75">
        <v>1992</v>
      </c>
      <c r="F123" s="22">
        <v>8</v>
      </c>
      <c r="G123" s="22">
        <v>25</v>
      </c>
      <c r="H123" s="19" t="s">
        <v>1550</v>
      </c>
      <c r="I123" s="19" t="s">
        <v>762</v>
      </c>
      <c r="J123" s="22">
        <v>2E-3</v>
      </c>
      <c r="K123" s="22">
        <v>1E-3</v>
      </c>
      <c r="L123" s="22">
        <v>100</v>
      </c>
      <c r="M123" s="22">
        <v>0</v>
      </c>
      <c r="N123" s="22">
        <f>J123*(L123/100)</f>
        <v>2E-3</v>
      </c>
      <c r="O123" s="22" t="s">
        <v>253</v>
      </c>
      <c r="P123" s="21" t="s">
        <v>1573</v>
      </c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</row>
    <row r="124" spans="1:124" ht="15">
      <c r="A124" s="19"/>
      <c r="B124" s="20"/>
      <c r="C124" s="20"/>
      <c r="D124" s="21"/>
      <c r="E124" s="75"/>
      <c r="F124" s="22"/>
      <c r="G124" s="22"/>
      <c r="H124" s="19"/>
      <c r="I124" s="19" t="s">
        <v>1741</v>
      </c>
      <c r="J124" s="22">
        <v>2.089</v>
      </c>
      <c r="K124" s="22">
        <v>0.14099999999999999</v>
      </c>
      <c r="L124" s="22">
        <v>100</v>
      </c>
      <c r="M124" s="22">
        <v>0</v>
      </c>
      <c r="N124" s="22">
        <f>J124*(L124/100)</f>
        <v>2.089</v>
      </c>
      <c r="O124" s="22" t="s">
        <v>253</v>
      </c>
      <c r="P124" s="21" t="s">
        <v>1573</v>
      </c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</row>
    <row r="125" spans="1:124" ht="15">
      <c r="A125" s="19"/>
      <c r="B125" s="20"/>
      <c r="C125" s="20"/>
      <c r="D125" s="21"/>
      <c r="E125" s="75"/>
      <c r="F125" s="22"/>
      <c r="G125" s="22"/>
      <c r="H125" s="19"/>
      <c r="I125" s="19" t="s">
        <v>1598</v>
      </c>
      <c r="J125" s="22">
        <v>1.0249999999999999</v>
      </c>
      <c r="K125" s="22">
        <v>0.10299999999999999</v>
      </c>
      <c r="L125" s="22">
        <v>99</v>
      </c>
      <c r="M125" s="22">
        <v>0</v>
      </c>
      <c r="N125" s="22">
        <f>J125*(L125/100)</f>
        <v>1.0147499999999998</v>
      </c>
      <c r="O125" s="22" t="s">
        <v>253</v>
      </c>
      <c r="P125" s="21" t="s">
        <v>1573</v>
      </c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</row>
    <row r="126" spans="1:124" ht="15">
      <c r="A126" s="19"/>
      <c r="B126" s="20"/>
      <c r="C126" s="20"/>
      <c r="D126" s="21"/>
      <c r="E126" s="75"/>
      <c r="F126" s="22"/>
      <c r="G126" s="22"/>
      <c r="H126" s="19"/>
      <c r="I126" s="19" t="s">
        <v>1662</v>
      </c>
      <c r="J126" s="22">
        <v>3.113</v>
      </c>
      <c r="K126" s="22">
        <v>0.19800000000000001</v>
      </c>
      <c r="L126" s="22">
        <v>100</v>
      </c>
      <c r="M126" s="22">
        <v>0</v>
      </c>
      <c r="N126" s="22">
        <f>J126*(L126/100)</f>
        <v>3.113</v>
      </c>
      <c r="O126" s="22" t="s">
        <v>253</v>
      </c>
      <c r="P126" s="21" t="s">
        <v>1573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</row>
    <row r="127" spans="1:124" ht="15">
      <c r="A127" s="19"/>
      <c r="B127" s="20"/>
      <c r="C127" s="20"/>
      <c r="D127" s="21"/>
      <c r="E127" s="75"/>
      <c r="F127" s="22"/>
      <c r="G127" s="22"/>
      <c r="H127" s="19"/>
      <c r="I127" s="19" t="s">
        <v>1261</v>
      </c>
      <c r="J127" s="22" t="s">
        <v>253</v>
      </c>
      <c r="K127" s="22" t="s">
        <v>253</v>
      </c>
      <c r="L127" s="22" t="s">
        <v>253</v>
      </c>
      <c r="M127" s="22" t="s">
        <v>253</v>
      </c>
      <c r="N127" s="22" t="s">
        <v>253</v>
      </c>
      <c r="O127" s="22" t="s">
        <v>253</v>
      </c>
      <c r="P127" s="21" t="s">
        <v>1573</v>
      </c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</row>
    <row r="128" spans="1:124" ht="15">
      <c r="A128" s="19"/>
      <c r="B128" s="20"/>
      <c r="C128" s="20"/>
      <c r="D128" s="21"/>
      <c r="E128" s="75"/>
      <c r="F128" s="22"/>
      <c r="G128" s="22"/>
      <c r="H128" s="19"/>
      <c r="I128" s="19" t="s">
        <v>1795</v>
      </c>
      <c r="J128" s="22" t="s">
        <v>253</v>
      </c>
      <c r="K128" s="22" t="s">
        <v>253</v>
      </c>
      <c r="L128" s="22" t="s">
        <v>253</v>
      </c>
      <c r="M128" s="22" t="s">
        <v>253</v>
      </c>
      <c r="N128" s="22" t="s">
        <v>253</v>
      </c>
      <c r="O128" s="22" t="s">
        <v>253</v>
      </c>
      <c r="P128" s="21" t="s">
        <v>1573</v>
      </c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</row>
    <row r="129" spans="1:124" ht="15">
      <c r="A129" s="19"/>
      <c r="B129" s="20"/>
      <c r="C129" s="20"/>
      <c r="D129" s="21"/>
      <c r="E129" s="75"/>
      <c r="F129" s="22"/>
      <c r="G129" s="22"/>
      <c r="H129" s="19"/>
      <c r="I129" s="19" t="s">
        <v>1785</v>
      </c>
      <c r="J129" s="22" t="s">
        <v>253</v>
      </c>
      <c r="K129" s="22" t="s">
        <v>253</v>
      </c>
      <c r="L129" s="22" t="s">
        <v>253</v>
      </c>
      <c r="M129" s="22" t="s">
        <v>253</v>
      </c>
      <c r="N129" s="22" t="s">
        <v>253</v>
      </c>
      <c r="O129" s="22" t="s">
        <v>253</v>
      </c>
      <c r="P129" s="21" t="s">
        <v>1573</v>
      </c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</row>
    <row r="130" spans="1:124" ht="15">
      <c r="A130" s="19"/>
      <c r="B130" s="20"/>
      <c r="C130" s="20"/>
      <c r="D130" s="21"/>
      <c r="E130" s="75"/>
      <c r="F130" s="22"/>
      <c r="G130" s="22"/>
      <c r="H130" s="19"/>
      <c r="I130" s="19" t="s">
        <v>1359</v>
      </c>
      <c r="J130" s="22" t="s">
        <v>253</v>
      </c>
      <c r="K130" s="22" t="s">
        <v>253</v>
      </c>
      <c r="L130" s="22" t="s">
        <v>253</v>
      </c>
      <c r="M130" s="22" t="s">
        <v>253</v>
      </c>
      <c r="N130" s="22" t="s">
        <v>253</v>
      </c>
      <c r="O130" s="22" t="s">
        <v>253</v>
      </c>
      <c r="P130" s="21" t="s">
        <v>1573</v>
      </c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</row>
    <row r="131" spans="1:124" ht="15">
      <c r="A131" s="19"/>
      <c r="B131" s="20"/>
      <c r="C131" s="20"/>
      <c r="D131" s="21"/>
      <c r="E131" s="75"/>
      <c r="F131" s="22"/>
      <c r="G131" s="22"/>
      <c r="H131" s="19"/>
      <c r="I131" s="19" t="s">
        <v>1687</v>
      </c>
      <c r="J131" s="22" t="s">
        <v>253</v>
      </c>
      <c r="K131" s="22" t="s">
        <v>253</v>
      </c>
      <c r="L131" s="22" t="s">
        <v>253</v>
      </c>
      <c r="M131" s="22" t="s">
        <v>253</v>
      </c>
      <c r="N131" s="22" t="s">
        <v>253</v>
      </c>
      <c r="O131" s="22" t="s">
        <v>253</v>
      </c>
      <c r="P131" s="21" t="s">
        <v>1573</v>
      </c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</row>
    <row r="132" spans="1:124" ht="15">
      <c r="A132" s="19"/>
      <c r="B132" s="20"/>
      <c r="C132" s="20"/>
      <c r="D132" s="21"/>
      <c r="E132" s="75"/>
      <c r="F132" s="22"/>
      <c r="G132" s="22"/>
      <c r="H132" s="19"/>
      <c r="I132" s="19" t="s">
        <v>1688</v>
      </c>
      <c r="J132" s="22" t="s">
        <v>253</v>
      </c>
      <c r="K132" s="22" t="s">
        <v>253</v>
      </c>
      <c r="L132" s="22" t="s">
        <v>253</v>
      </c>
      <c r="M132" s="22" t="s">
        <v>253</v>
      </c>
      <c r="N132" s="22" t="s">
        <v>253</v>
      </c>
      <c r="O132" s="22" t="s">
        <v>253</v>
      </c>
      <c r="P132" s="21" t="s">
        <v>1573</v>
      </c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</row>
    <row r="133" spans="1:124" ht="15">
      <c r="A133" s="19"/>
      <c r="B133" s="20"/>
      <c r="C133" s="20"/>
      <c r="D133" s="21"/>
      <c r="E133" s="75"/>
      <c r="F133" s="22"/>
      <c r="G133" s="22"/>
      <c r="H133" s="19"/>
      <c r="I133" s="19" t="s">
        <v>1264</v>
      </c>
      <c r="J133" s="22" t="s">
        <v>253</v>
      </c>
      <c r="K133" s="22" t="s">
        <v>253</v>
      </c>
      <c r="L133" s="22" t="s">
        <v>253</v>
      </c>
      <c r="M133" s="22" t="s">
        <v>253</v>
      </c>
      <c r="N133" s="22" t="s">
        <v>253</v>
      </c>
      <c r="O133" s="22" t="s">
        <v>253</v>
      </c>
      <c r="P133" s="21" t="s">
        <v>1573</v>
      </c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</row>
    <row r="134" spans="1:124" ht="15">
      <c r="A134" s="19"/>
      <c r="B134" s="20"/>
      <c r="C134" s="20"/>
      <c r="D134" s="21"/>
      <c r="E134" s="75"/>
      <c r="F134" s="22"/>
      <c r="G134" s="22"/>
      <c r="H134" s="19"/>
      <c r="I134" s="19" t="s">
        <v>485</v>
      </c>
      <c r="J134" s="22">
        <v>3.1640000000000001</v>
      </c>
      <c r="K134" s="22">
        <v>0.19900000000000001</v>
      </c>
      <c r="L134" s="22">
        <v>99</v>
      </c>
      <c r="M134" s="22">
        <v>1</v>
      </c>
      <c r="N134" s="22">
        <f t="shared" ref="N134:N143" si="12">J134*(L134/100)</f>
        <v>3.1323600000000003</v>
      </c>
      <c r="O134" s="22" t="s">
        <v>253</v>
      </c>
      <c r="P134" s="21" t="s">
        <v>1573</v>
      </c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</row>
    <row r="135" spans="1:124" s="146" customFormat="1" ht="15">
      <c r="A135" s="19" t="s">
        <v>41</v>
      </c>
      <c r="B135" s="20" t="s">
        <v>1570</v>
      </c>
      <c r="C135" s="20" t="s">
        <v>1571</v>
      </c>
      <c r="D135" s="21" t="s">
        <v>1572</v>
      </c>
      <c r="E135" s="75">
        <v>1992</v>
      </c>
      <c r="F135" s="22">
        <v>8</v>
      </c>
      <c r="G135" s="22">
        <v>24</v>
      </c>
      <c r="H135" s="19" t="s">
        <v>1550</v>
      </c>
      <c r="I135" s="19" t="s">
        <v>544</v>
      </c>
      <c r="J135" s="22">
        <v>3.806</v>
      </c>
      <c r="K135" s="22">
        <v>0.27100000000000002</v>
      </c>
      <c r="L135" s="22">
        <v>79</v>
      </c>
      <c r="M135" s="22">
        <v>3</v>
      </c>
      <c r="N135" s="22">
        <f t="shared" si="12"/>
        <v>3.0067400000000002</v>
      </c>
      <c r="O135" s="22" t="s">
        <v>253</v>
      </c>
      <c r="P135" s="21" t="s">
        <v>1356</v>
      </c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</row>
    <row r="136" spans="1:124" ht="15">
      <c r="A136" s="19"/>
      <c r="B136" s="20"/>
      <c r="C136" s="20"/>
      <c r="D136" s="21"/>
      <c r="E136" s="75"/>
      <c r="F136" s="22"/>
      <c r="G136" s="22"/>
      <c r="H136" s="19"/>
      <c r="I136" s="19" t="s">
        <v>1357</v>
      </c>
      <c r="J136" s="22">
        <v>0.98</v>
      </c>
      <c r="K136" s="22">
        <v>0.14699999999999999</v>
      </c>
      <c r="L136" s="22">
        <v>100</v>
      </c>
      <c r="M136" s="22">
        <v>0</v>
      </c>
      <c r="N136" s="22">
        <f t="shared" si="12"/>
        <v>0.98</v>
      </c>
      <c r="O136" s="22" t="s">
        <v>986</v>
      </c>
      <c r="P136" s="21" t="s">
        <v>1356</v>
      </c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</row>
    <row r="137" spans="1:124" ht="15">
      <c r="A137" s="19"/>
      <c r="B137" s="20"/>
      <c r="C137" s="20"/>
      <c r="D137" s="21"/>
      <c r="E137" s="75"/>
      <c r="F137" s="22"/>
      <c r="G137" s="22"/>
      <c r="H137" s="19"/>
      <c r="I137" s="19" t="s">
        <v>1598</v>
      </c>
      <c r="J137" s="22">
        <v>0.20699999999999999</v>
      </c>
      <c r="K137" s="22">
        <v>9.4E-2</v>
      </c>
      <c r="L137" s="22">
        <v>100</v>
      </c>
      <c r="M137" s="22">
        <v>0</v>
      </c>
      <c r="N137" s="22">
        <f t="shared" si="12"/>
        <v>0.20699999999999999</v>
      </c>
      <c r="O137" s="22" t="s">
        <v>986</v>
      </c>
      <c r="P137" s="21" t="s">
        <v>1356</v>
      </c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</row>
    <row r="138" spans="1:124" ht="15">
      <c r="A138" s="19"/>
      <c r="B138" s="20"/>
      <c r="C138" s="20"/>
      <c r="D138" s="21"/>
      <c r="E138" s="75"/>
      <c r="F138" s="22"/>
      <c r="G138" s="22"/>
      <c r="H138" s="19"/>
      <c r="I138" s="19" t="s">
        <v>1358</v>
      </c>
      <c r="J138" s="22">
        <v>1.1870000000000001</v>
      </c>
      <c r="K138" s="22">
        <v>0.183</v>
      </c>
      <c r="L138" s="22">
        <v>100</v>
      </c>
      <c r="M138" s="22">
        <v>0</v>
      </c>
      <c r="N138" s="22">
        <f t="shared" si="12"/>
        <v>1.1870000000000001</v>
      </c>
      <c r="O138" s="22" t="s">
        <v>986</v>
      </c>
      <c r="P138" s="21" t="s">
        <v>1356</v>
      </c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</row>
    <row r="139" spans="1:124" ht="15">
      <c r="A139" s="19"/>
      <c r="B139" s="20"/>
      <c r="C139" s="20"/>
      <c r="D139" s="21"/>
      <c r="E139" s="75"/>
      <c r="F139" s="22"/>
      <c r="G139" s="22"/>
      <c r="H139" s="19"/>
      <c r="I139" s="19" t="s">
        <v>1261</v>
      </c>
      <c r="J139" s="22">
        <v>0.158</v>
      </c>
      <c r="K139" s="22">
        <v>5.1999999999999998E-2</v>
      </c>
      <c r="L139" s="22">
        <v>100</v>
      </c>
      <c r="M139" s="22">
        <v>0</v>
      </c>
      <c r="N139" s="22">
        <f t="shared" si="12"/>
        <v>0.158</v>
      </c>
      <c r="O139" s="22" t="s">
        <v>986</v>
      </c>
      <c r="P139" s="21" t="s">
        <v>1356</v>
      </c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</row>
    <row r="140" spans="1:124" ht="15">
      <c r="A140" s="19"/>
      <c r="B140" s="20"/>
      <c r="C140" s="20"/>
      <c r="D140" s="21"/>
      <c r="E140" s="75"/>
      <c r="F140" s="22"/>
      <c r="G140" s="22"/>
      <c r="H140" s="19"/>
      <c r="I140" s="19" t="s">
        <v>1475</v>
      </c>
      <c r="J140" s="22">
        <v>4.4999999999999998E-2</v>
      </c>
      <c r="K140" s="22">
        <v>1.6E-2</v>
      </c>
      <c r="L140" s="22">
        <v>83</v>
      </c>
      <c r="M140" s="22">
        <v>12</v>
      </c>
      <c r="N140" s="22">
        <f t="shared" si="12"/>
        <v>3.7349999999999994E-2</v>
      </c>
      <c r="O140" s="22" t="s">
        <v>986</v>
      </c>
      <c r="P140" s="21" t="s">
        <v>1356</v>
      </c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</row>
    <row r="141" spans="1:124" ht="15">
      <c r="A141" s="19"/>
      <c r="B141" s="20"/>
      <c r="C141" s="20"/>
      <c r="D141" s="21"/>
      <c r="E141" s="75"/>
      <c r="F141" s="22"/>
      <c r="G141" s="22"/>
      <c r="H141" s="19"/>
      <c r="I141" s="19" t="s">
        <v>1785</v>
      </c>
      <c r="J141" s="22">
        <v>0.22700000000000001</v>
      </c>
      <c r="K141" s="22">
        <v>0.05</v>
      </c>
      <c r="L141" s="22">
        <v>6</v>
      </c>
      <c r="M141" s="22">
        <v>6</v>
      </c>
      <c r="N141" s="22">
        <f t="shared" si="12"/>
        <v>1.362E-2</v>
      </c>
      <c r="O141" s="22" t="s">
        <v>986</v>
      </c>
      <c r="P141" s="21" t="s">
        <v>1356</v>
      </c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</row>
    <row r="142" spans="1:124" ht="15">
      <c r="A142" s="19"/>
      <c r="B142" s="20"/>
      <c r="C142" s="20"/>
      <c r="D142" s="21"/>
      <c r="E142" s="75"/>
      <c r="F142" s="22"/>
      <c r="G142" s="22"/>
      <c r="H142" s="19"/>
      <c r="I142" s="19" t="s">
        <v>1359</v>
      </c>
      <c r="J142" s="22">
        <v>0.32500000000000001</v>
      </c>
      <c r="K142" s="22">
        <v>7.4999999999999997E-2</v>
      </c>
      <c r="L142" s="22">
        <v>0</v>
      </c>
      <c r="M142" s="22">
        <v>0</v>
      </c>
      <c r="N142" s="22">
        <f t="shared" si="12"/>
        <v>0</v>
      </c>
      <c r="O142" s="22" t="s">
        <v>986</v>
      </c>
      <c r="P142" s="21" t="s">
        <v>1356</v>
      </c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</row>
    <row r="143" spans="1:124" ht="15">
      <c r="A143" s="19"/>
      <c r="B143" s="20"/>
      <c r="C143" s="20"/>
      <c r="D143" s="21"/>
      <c r="E143" s="75"/>
      <c r="F143" s="22"/>
      <c r="G143" s="22"/>
      <c r="H143" s="19"/>
      <c r="I143" s="19" t="s">
        <v>1687</v>
      </c>
      <c r="J143" s="22">
        <v>4.5999999999999999E-2</v>
      </c>
      <c r="K143" s="22">
        <v>2.3E-2</v>
      </c>
      <c r="L143" s="22">
        <v>0</v>
      </c>
      <c r="M143" s="22">
        <v>0</v>
      </c>
      <c r="N143" s="22">
        <f t="shared" si="12"/>
        <v>0</v>
      </c>
      <c r="O143" s="22" t="s">
        <v>986</v>
      </c>
      <c r="P143" s="21" t="s">
        <v>1356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</row>
    <row r="144" spans="1:124" ht="15">
      <c r="A144" s="19"/>
      <c r="B144" s="20"/>
      <c r="C144" s="20"/>
      <c r="D144" s="21"/>
      <c r="E144" s="75"/>
      <c r="F144" s="22"/>
      <c r="G144" s="22"/>
      <c r="H144" s="19"/>
      <c r="I144" s="19" t="s">
        <v>1584</v>
      </c>
      <c r="J144" s="75" t="s">
        <v>1046</v>
      </c>
      <c r="K144" s="75" t="s">
        <v>1046</v>
      </c>
      <c r="L144" s="75" t="s">
        <v>1046</v>
      </c>
      <c r="M144" s="75" t="s">
        <v>1046</v>
      </c>
      <c r="N144" s="75" t="s">
        <v>1046</v>
      </c>
      <c r="O144" s="75" t="s">
        <v>1046</v>
      </c>
      <c r="P144" s="21" t="s">
        <v>1356</v>
      </c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</row>
    <row r="145" spans="1:124" ht="15">
      <c r="A145" s="19"/>
      <c r="B145" s="20"/>
      <c r="C145" s="20"/>
      <c r="D145" s="21"/>
      <c r="E145" s="75"/>
      <c r="F145" s="22"/>
      <c r="G145" s="22"/>
      <c r="H145" s="19"/>
      <c r="I145" s="19" t="s">
        <v>1585</v>
      </c>
      <c r="J145" s="22">
        <v>0.59799999999999998</v>
      </c>
      <c r="K145" s="22">
        <v>0.10199999999999999</v>
      </c>
      <c r="L145" s="22">
        <v>3</v>
      </c>
      <c r="M145" s="22">
        <v>3</v>
      </c>
      <c r="N145" s="22">
        <f t="shared" ref="N145:N158" si="13">J145*(L145/100)</f>
        <v>1.7939999999999998E-2</v>
      </c>
      <c r="O145" s="22" t="s">
        <v>986</v>
      </c>
      <c r="P145" s="21" t="s">
        <v>1356</v>
      </c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</row>
    <row r="146" spans="1:124" ht="15">
      <c r="A146" s="19"/>
      <c r="B146" s="20"/>
      <c r="C146" s="20"/>
      <c r="D146" s="21"/>
      <c r="E146" s="75"/>
      <c r="F146" s="22"/>
      <c r="G146" s="22"/>
      <c r="H146" s="19"/>
      <c r="I146" s="19" t="s">
        <v>485</v>
      </c>
      <c r="J146" s="22">
        <v>5.7720000000000002</v>
      </c>
      <c r="K146" s="22">
        <v>0.32800000000000001</v>
      </c>
      <c r="L146" s="22">
        <v>74</v>
      </c>
      <c r="M146" s="22">
        <v>4</v>
      </c>
      <c r="N146" s="22">
        <f t="shared" si="13"/>
        <v>4.27128</v>
      </c>
      <c r="O146" s="22" t="s">
        <v>986</v>
      </c>
      <c r="P146" s="21" t="s">
        <v>1356</v>
      </c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</row>
    <row r="147" spans="1:124" s="146" customFormat="1" ht="15">
      <c r="A147" s="19" t="s">
        <v>41</v>
      </c>
      <c r="B147" s="20" t="s">
        <v>1570</v>
      </c>
      <c r="C147" s="20" t="s">
        <v>1571</v>
      </c>
      <c r="D147" s="21" t="s">
        <v>1572</v>
      </c>
      <c r="E147" s="75">
        <v>1992</v>
      </c>
      <c r="F147" s="22">
        <v>8</v>
      </c>
      <c r="G147" s="22">
        <v>27</v>
      </c>
      <c r="H147" s="19" t="s">
        <v>1550</v>
      </c>
      <c r="I147" s="19" t="s">
        <v>544</v>
      </c>
      <c r="J147" s="22">
        <v>1.49</v>
      </c>
      <c r="K147" s="22">
        <v>0.19400000000000001</v>
      </c>
      <c r="L147" s="22">
        <v>95</v>
      </c>
      <c r="M147" s="22">
        <v>3</v>
      </c>
      <c r="N147" s="22">
        <f t="shared" si="13"/>
        <v>1.4155</v>
      </c>
      <c r="O147" s="22" t="s">
        <v>986</v>
      </c>
      <c r="P147" s="21" t="s">
        <v>1567</v>
      </c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</row>
    <row r="148" spans="1:124" ht="15">
      <c r="A148" s="19"/>
      <c r="B148" s="20"/>
      <c r="C148" s="20"/>
      <c r="D148" s="21"/>
      <c r="E148" s="75"/>
      <c r="F148" s="22"/>
      <c r="G148" s="22"/>
      <c r="H148" s="19"/>
      <c r="I148" s="19" t="s">
        <v>1597</v>
      </c>
      <c r="J148" s="22">
        <v>2.4239999999999999</v>
      </c>
      <c r="K148" s="22">
        <v>0.28799999999999998</v>
      </c>
      <c r="L148" s="22">
        <v>100</v>
      </c>
      <c r="M148" s="22">
        <v>0</v>
      </c>
      <c r="N148" s="22">
        <f t="shared" si="13"/>
        <v>2.4239999999999999</v>
      </c>
      <c r="O148" s="22" t="s">
        <v>986</v>
      </c>
      <c r="P148" s="21" t="s">
        <v>1567</v>
      </c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</row>
    <row r="149" spans="1:124" ht="15">
      <c r="A149" s="19"/>
      <c r="B149" s="20"/>
      <c r="C149" s="20"/>
      <c r="D149" s="21"/>
      <c r="E149" s="75"/>
      <c r="F149" s="22"/>
      <c r="G149" s="22"/>
      <c r="H149" s="19"/>
      <c r="I149" s="19" t="s">
        <v>1568</v>
      </c>
      <c r="J149" s="22">
        <v>3.7999999999999999E-2</v>
      </c>
      <c r="K149" s="22">
        <v>1.4E-2</v>
      </c>
      <c r="L149" s="22">
        <v>100</v>
      </c>
      <c r="M149" s="22">
        <v>0</v>
      </c>
      <c r="N149" s="22">
        <f t="shared" si="13"/>
        <v>3.7999999999999999E-2</v>
      </c>
      <c r="O149" s="22" t="s">
        <v>986</v>
      </c>
      <c r="P149" s="21" t="s">
        <v>1567</v>
      </c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</row>
    <row r="150" spans="1:124" ht="15">
      <c r="A150" s="19"/>
      <c r="B150" s="20"/>
      <c r="C150" s="20"/>
      <c r="D150" s="21"/>
      <c r="E150" s="75"/>
      <c r="F150" s="22"/>
      <c r="G150" s="22"/>
      <c r="H150" s="19"/>
      <c r="I150" s="19" t="s">
        <v>1662</v>
      </c>
      <c r="J150" s="22">
        <v>2.4620000000000002</v>
      </c>
      <c r="K150" s="22">
        <v>0.28599999999999998</v>
      </c>
      <c r="L150" s="22">
        <v>100</v>
      </c>
      <c r="M150" s="22">
        <v>0</v>
      </c>
      <c r="N150" s="22">
        <f t="shared" si="13"/>
        <v>2.4620000000000002</v>
      </c>
      <c r="O150" s="22" t="s">
        <v>986</v>
      </c>
      <c r="P150" s="21" t="s">
        <v>1567</v>
      </c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</row>
    <row r="151" spans="1:124" ht="15">
      <c r="A151" s="19"/>
      <c r="B151" s="20"/>
      <c r="C151" s="20"/>
      <c r="D151" s="21"/>
      <c r="E151" s="75"/>
      <c r="F151" s="22"/>
      <c r="G151" s="22"/>
      <c r="H151" s="19"/>
      <c r="I151" s="19" t="s">
        <v>1261</v>
      </c>
      <c r="J151" s="22">
        <v>0.16900000000000001</v>
      </c>
      <c r="K151" s="22">
        <v>3.3000000000000002E-2</v>
      </c>
      <c r="L151" s="22">
        <v>99</v>
      </c>
      <c r="M151" s="22">
        <v>1</v>
      </c>
      <c r="N151" s="22">
        <f t="shared" si="13"/>
        <v>0.16731000000000001</v>
      </c>
      <c r="O151" s="22" t="s">
        <v>986</v>
      </c>
      <c r="P151" s="21" t="s">
        <v>325</v>
      </c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</row>
    <row r="152" spans="1:124" ht="15">
      <c r="A152" s="19"/>
      <c r="B152" s="20"/>
      <c r="C152" s="20"/>
      <c r="D152" s="21"/>
      <c r="E152" s="75"/>
      <c r="F152" s="22"/>
      <c r="G152" s="22"/>
      <c r="H152" s="19"/>
      <c r="I152" s="19" t="s">
        <v>1795</v>
      </c>
      <c r="J152" s="22">
        <v>0.114</v>
      </c>
      <c r="K152" s="22">
        <v>3.6999999999999998E-2</v>
      </c>
      <c r="L152" s="22">
        <v>86</v>
      </c>
      <c r="M152" s="22">
        <v>12</v>
      </c>
      <c r="N152" s="22">
        <f t="shared" si="13"/>
        <v>9.8040000000000002E-2</v>
      </c>
      <c r="O152" s="22" t="s">
        <v>986</v>
      </c>
      <c r="P152" s="21" t="s">
        <v>1567</v>
      </c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</row>
    <row r="153" spans="1:124" ht="15">
      <c r="A153" s="19"/>
      <c r="B153" s="20"/>
      <c r="C153" s="20"/>
      <c r="D153" s="21"/>
      <c r="E153" s="75"/>
      <c r="F153" s="22"/>
      <c r="G153" s="22"/>
      <c r="H153" s="19"/>
      <c r="I153" s="19" t="s">
        <v>1661</v>
      </c>
      <c r="J153" s="22">
        <v>3.5999999999999997E-2</v>
      </c>
      <c r="K153" s="22">
        <v>1.4999999999999999E-2</v>
      </c>
      <c r="L153" s="22">
        <v>100</v>
      </c>
      <c r="M153" s="22">
        <v>0</v>
      </c>
      <c r="N153" s="22">
        <f t="shared" si="13"/>
        <v>3.5999999999999997E-2</v>
      </c>
      <c r="O153" s="22" t="s">
        <v>986</v>
      </c>
      <c r="P153" s="21" t="s">
        <v>1567</v>
      </c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</row>
    <row r="154" spans="1:124" ht="15">
      <c r="A154" s="19"/>
      <c r="B154" s="20"/>
      <c r="C154" s="20"/>
      <c r="D154" s="21"/>
      <c r="E154" s="75"/>
      <c r="F154" s="22"/>
      <c r="G154" s="22"/>
      <c r="H154" s="19"/>
      <c r="I154" s="19" t="s">
        <v>1654</v>
      </c>
      <c r="J154" s="22">
        <v>0.13900000000000001</v>
      </c>
      <c r="K154" s="22">
        <v>2.7E-2</v>
      </c>
      <c r="L154" s="22">
        <v>0</v>
      </c>
      <c r="M154" s="22">
        <v>0</v>
      </c>
      <c r="N154" s="22">
        <f t="shared" si="13"/>
        <v>0</v>
      </c>
      <c r="O154" s="22" t="s">
        <v>986</v>
      </c>
      <c r="P154" s="21" t="s">
        <v>1567</v>
      </c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</row>
    <row r="155" spans="1:124" ht="15">
      <c r="A155" s="19"/>
      <c r="B155" s="20"/>
      <c r="C155" s="20"/>
      <c r="D155" s="21"/>
      <c r="E155" s="75"/>
      <c r="F155" s="22"/>
      <c r="G155" s="22"/>
      <c r="H155" s="19"/>
      <c r="I155" s="19" t="s">
        <v>1655</v>
      </c>
      <c r="J155" s="22">
        <v>0.23100000000000001</v>
      </c>
      <c r="K155" s="22">
        <v>4.8000000000000001E-2</v>
      </c>
      <c r="L155" s="22">
        <v>11</v>
      </c>
      <c r="M155" s="22">
        <v>11</v>
      </c>
      <c r="N155" s="22">
        <f t="shared" si="13"/>
        <v>2.5410000000000002E-2</v>
      </c>
      <c r="O155" s="22" t="s">
        <v>986</v>
      </c>
      <c r="P155" s="21" t="s">
        <v>1567</v>
      </c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</row>
    <row r="156" spans="1:124" ht="15">
      <c r="A156" s="19"/>
      <c r="B156" s="20"/>
      <c r="C156" s="20"/>
      <c r="D156" s="21"/>
      <c r="E156" s="75"/>
      <c r="F156" s="22"/>
      <c r="G156" s="22"/>
      <c r="H156" s="19"/>
      <c r="I156" s="19" t="s">
        <v>1656</v>
      </c>
      <c r="J156" s="22">
        <v>2.7589999999999999</v>
      </c>
      <c r="K156" s="22">
        <v>0.79</v>
      </c>
      <c r="L156" s="22">
        <v>27</v>
      </c>
      <c r="M156" s="22">
        <v>6</v>
      </c>
      <c r="N156" s="22">
        <f t="shared" si="13"/>
        <v>0.74492999999999998</v>
      </c>
      <c r="O156" s="22" t="s">
        <v>986</v>
      </c>
      <c r="P156" s="21" t="s">
        <v>1567</v>
      </c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</row>
    <row r="157" spans="1:124" ht="15">
      <c r="A157" s="19"/>
      <c r="B157" s="20"/>
      <c r="C157" s="20"/>
      <c r="D157" s="21"/>
      <c r="E157" s="75"/>
      <c r="F157" s="22"/>
      <c r="G157" s="22"/>
      <c r="H157" s="19"/>
      <c r="I157" s="19" t="s">
        <v>1264</v>
      </c>
      <c r="J157" s="22">
        <v>3.165</v>
      </c>
      <c r="K157" s="22">
        <v>0.79800000000000004</v>
      </c>
      <c r="L157" s="22">
        <v>37</v>
      </c>
      <c r="M157" s="22">
        <v>8</v>
      </c>
      <c r="N157" s="22">
        <f t="shared" si="13"/>
        <v>1.1710499999999999</v>
      </c>
      <c r="O157" s="22" t="s">
        <v>986</v>
      </c>
      <c r="P157" s="21" t="s">
        <v>1567</v>
      </c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</row>
    <row r="158" spans="1:124" ht="16" thickBot="1">
      <c r="A158" s="19"/>
      <c r="B158" s="20"/>
      <c r="C158" s="20"/>
      <c r="D158" s="21"/>
      <c r="E158" s="75"/>
      <c r="F158" s="22"/>
      <c r="G158" s="22"/>
      <c r="H158" s="19"/>
      <c r="I158" s="38" t="s">
        <v>485</v>
      </c>
      <c r="J158" s="45">
        <v>7.343</v>
      </c>
      <c r="K158" s="45">
        <v>0.70799999999999996</v>
      </c>
      <c r="L158" s="45">
        <v>71</v>
      </c>
      <c r="M158" s="45">
        <v>5</v>
      </c>
      <c r="N158" s="45">
        <f t="shared" si="13"/>
        <v>5.2135299999999996</v>
      </c>
      <c r="O158" s="45" t="s">
        <v>986</v>
      </c>
      <c r="P158" s="21" t="s">
        <v>1567</v>
      </c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</row>
    <row r="159" spans="1:124" ht="15">
      <c r="I159" s="47" t="s">
        <v>544</v>
      </c>
      <c r="J159" s="51">
        <f t="shared" ref="J159:J170" si="14">ROUND(AVERAGE(J123,J135,J147),1)</f>
        <v>1.8</v>
      </c>
      <c r="K159" s="51">
        <f t="shared" ref="K159:K167" si="15">ROUND(STDEV(J123,J135,J147),1)</f>
        <v>1.9</v>
      </c>
      <c r="L159" s="51">
        <f t="shared" ref="L159:L170" si="16">ROUND(AVERAGE(L123,L135,L147),1)</f>
        <v>91.3</v>
      </c>
      <c r="M159" s="51">
        <f t="shared" ref="M159:M167" si="17">ROUND(STDEV(L123,L135,L147),1)</f>
        <v>11</v>
      </c>
      <c r="N159" s="51">
        <f t="shared" ref="N159:N170" si="18">ROUND(AVERAGE(N123,N135,N147),1)</f>
        <v>1.5</v>
      </c>
      <c r="O159" s="52">
        <f t="shared" ref="O159:O167" si="19">ROUND(STDEV(N123,N135,N147),1)</f>
        <v>1.5</v>
      </c>
    </row>
    <row r="160" spans="1:124" ht="15">
      <c r="I160" s="48" t="s">
        <v>1597</v>
      </c>
      <c r="J160" s="53">
        <f t="shared" si="14"/>
        <v>1.8</v>
      </c>
      <c r="K160" s="53">
        <f t="shared" si="15"/>
        <v>0.8</v>
      </c>
      <c r="L160" s="53">
        <f t="shared" si="16"/>
        <v>100</v>
      </c>
      <c r="M160" s="53">
        <f t="shared" si="17"/>
        <v>0</v>
      </c>
      <c r="N160" s="53">
        <f t="shared" si="18"/>
        <v>1.8</v>
      </c>
      <c r="O160" s="54">
        <f t="shared" si="19"/>
        <v>0.8</v>
      </c>
    </row>
    <row r="161" spans="1:124" ht="15">
      <c r="I161" s="48" t="s">
        <v>1742</v>
      </c>
      <c r="J161" s="53">
        <f t="shared" si="14"/>
        <v>0.4</v>
      </c>
      <c r="K161" s="53">
        <f t="shared" si="15"/>
        <v>0.5</v>
      </c>
      <c r="L161" s="53">
        <f t="shared" si="16"/>
        <v>99.7</v>
      </c>
      <c r="M161" s="53">
        <f t="shared" si="17"/>
        <v>0.6</v>
      </c>
      <c r="N161" s="53">
        <f t="shared" si="18"/>
        <v>0.4</v>
      </c>
      <c r="O161" s="54">
        <f t="shared" si="19"/>
        <v>0.5</v>
      </c>
    </row>
    <row r="162" spans="1:124" ht="15">
      <c r="I162" s="48" t="s">
        <v>1743</v>
      </c>
      <c r="J162" s="53">
        <f t="shared" si="14"/>
        <v>2.2999999999999998</v>
      </c>
      <c r="K162" s="53">
        <f t="shared" si="15"/>
        <v>1</v>
      </c>
      <c r="L162" s="53">
        <f t="shared" si="16"/>
        <v>100</v>
      </c>
      <c r="M162" s="53">
        <f t="shared" si="17"/>
        <v>0</v>
      </c>
      <c r="N162" s="53">
        <f t="shared" si="18"/>
        <v>2.2999999999999998</v>
      </c>
      <c r="O162" s="54">
        <f t="shared" si="19"/>
        <v>1</v>
      </c>
    </row>
    <row r="163" spans="1:124" ht="15">
      <c r="I163" s="48" t="s">
        <v>1374</v>
      </c>
      <c r="J163" s="53">
        <f t="shared" si="14"/>
        <v>0.2</v>
      </c>
      <c r="K163" s="53">
        <f t="shared" si="15"/>
        <v>0</v>
      </c>
      <c r="L163" s="53">
        <f t="shared" si="16"/>
        <v>99.5</v>
      </c>
      <c r="M163" s="53">
        <f t="shared" si="17"/>
        <v>0.7</v>
      </c>
      <c r="N163" s="53">
        <f t="shared" si="18"/>
        <v>0.2</v>
      </c>
      <c r="O163" s="54">
        <f t="shared" si="19"/>
        <v>0</v>
      </c>
    </row>
    <row r="164" spans="1:124" ht="15">
      <c r="I164" s="48" t="s">
        <v>1744</v>
      </c>
      <c r="J164" s="53">
        <f t="shared" si="14"/>
        <v>0.1</v>
      </c>
      <c r="K164" s="53">
        <f t="shared" si="15"/>
        <v>0</v>
      </c>
      <c r="L164" s="53">
        <f t="shared" si="16"/>
        <v>84.5</v>
      </c>
      <c r="M164" s="53">
        <f t="shared" si="17"/>
        <v>2.1</v>
      </c>
      <c r="N164" s="53">
        <f t="shared" si="18"/>
        <v>0.1</v>
      </c>
      <c r="O164" s="54">
        <f t="shared" si="19"/>
        <v>0</v>
      </c>
    </row>
    <row r="165" spans="1:124" ht="15">
      <c r="I165" s="48" t="s">
        <v>1848</v>
      </c>
      <c r="J165" s="53">
        <f t="shared" si="14"/>
        <v>0.1</v>
      </c>
      <c r="K165" s="53">
        <f t="shared" si="15"/>
        <v>0.1</v>
      </c>
      <c r="L165" s="53">
        <f t="shared" si="16"/>
        <v>53</v>
      </c>
      <c r="M165" s="53">
        <f t="shared" si="17"/>
        <v>66.5</v>
      </c>
      <c r="N165" s="53">
        <f t="shared" si="18"/>
        <v>0</v>
      </c>
      <c r="O165" s="54">
        <f t="shared" si="19"/>
        <v>0</v>
      </c>
    </row>
    <row r="166" spans="1:124" ht="15">
      <c r="I166" s="48" t="s">
        <v>1657</v>
      </c>
      <c r="J166" s="53">
        <f t="shared" si="14"/>
        <v>0.2</v>
      </c>
      <c r="K166" s="53">
        <f t="shared" si="15"/>
        <v>0.1</v>
      </c>
      <c r="L166" s="53">
        <f t="shared" si="16"/>
        <v>0</v>
      </c>
      <c r="M166" s="53">
        <f t="shared" si="17"/>
        <v>0</v>
      </c>
      <c r="N166" s="53">
        <f t="shared" si="18"/>
        <v>0</v>
      </c>
      <c r="O166" s="54">
        <f t="shared" si="19"/>
        <v>0</v>
      </c>
    </row>
    <row r="167" spans="1:124" ht="15">
      <c r="I167" s="48" t="s">
        <v>1774</v>
      </c>
      <c r="J167" s="53">
        <f t="shared" si="14"/>
        <v>0.1</v>
      </c>
      <c r="K167" s="53">
        <f t="shared" si="15"/>
        <v>0.1</v>
      </c>
      <c r="L167" s="53">
        <f t="shared" si="16"/>
        <v>5.5</v>
      </c>
      <c r="M167" s="53">
        <f t="shared" si="17"/>
        <v>7.8</v>
      </c>
      <c r="N167" s="53">
        <f t="shared" si="18"/>
        <v>0</v>
      </c>
      <c r="O167" s="54">
        <f t="shared" si="19"/>
        <v>0</v>
      </c>
    </row>
    <row r="168" spans="1:124" ht="15">
      <c r="I168" s="48" t="s">
        <v>1587</v>
      </c>
      <c r="J168" s="53">
        <f t="shared" si="14"/>
        <v>2.8</v>
      </c>
      <c r="K168" s="53" t="s">
        <v>1398</v>
      </c>
      <c r="L168" s="53">
        <f t="shared" si="16"/>
        <v>27</v>
      </c>
      <c r="M168" s="53" t="s">
        <v>1398</v>
      </c>
      <c r="N168" s="53">
        <f t="shared" si="18"/>
        <v>0.7</v>
      </c>
      <c r="O168" s="54" t="s">
        <v>1289</v>
      </c>
    </row>
    <row r="169" spans="1:124" ht="15">
      <c r="I169" s="48" t="s">
        <v>1264</v>
      </c>
      <c r="J169" s="53">
        <f t="shared" si="14"/>
        <v>1.9</v>
      </c>
      <c r="K169" s="53">
        <f>ROUND(STDEV(J133,J145,J157),1)</f>
        <v>1.8</v>
      </c>
      <c r="L169" s="53">
        <f t="shared" si="16"/>
        <v>20</v>
      </c>
      <c r="M169" s="53">
        <f>ROUND(STDEV(L133,L145,L157),1)</f>
        <v>24</v>
      </c>
      <c r="N169" s="53">
        <f t="shared" si="18"/>
        <v>0.6</v>
      </c>
      <c r="O169" s="54">
        <f>ROUND(STDEV(N133,N145,N157),1)</f>
        <v>0.8</v>
      </c>
    </row>
    <row r="170" spans="1:124" ht="17" customHeight="1">
      <c r="I170" s="48" t="s">
        <v>485</v>
      </c>
      <c r="J170" s="53">
        <f t="shared" si="14"/>
        <v>5.4</v>
      </c>
      <c r="K170" s="53">
        <f>ROUND(STDEV(J134,J146,J158),1)</f>
        <v>2.1</v>
      </c>
      <c r="L170" s="53">
        <f t="shared" si="16"/>
        <v>81.3</v>
      </c>
      <c r="M170" s="53">
        <f>ROUND(STDEV(L134,L146,L158),1)</f>
        <v>15.4</v>
      </c>
      <c r="N170" s="53">
        <f t="shared" si="18"/>
        <v>4.2</v>
      </c>
      <c r="O170" s="54">
        <f>ROUND(STDEV(N134,N146,N158),1)</f>
        <v>1</v>
      </c>
    </row>
    <row r="171" spans="1:124" ht="17" customHeight="1">
      <c r="I171" s="280" t="s">
        <v>1841</v>
      </c>
      <c r="J171" s="81">
        <f>ROUND(J134,1)</f>
        <v>3.2</v>
      </c>
      <c r="K171" s="81">
        <f>ROUND(K134,1)</f>
        <v>0.2</v>
      </c>
      <c r="L171" s="81">
        <f>ROUND(L134,1)</f>
        <v>99</v>
      </c>
      <c r="M171" s="81">
        <f>ROUND(M134,1)</f>
        <v>1</v>
      </c>
      <c r="N171" s="81">
        <f>ROUND(N134,1)</f>
        <v>3.1</v>
      </c>
      <c r="O171" s="81" t="s">
        <v>2000</v>
      </c>
    </row>
    <row r="172" spans="1:124" ht="17" customHeight="1" thickBot="1">
      <c r="I172" s="49" t="s">
        <v>1840</v>
      </c>
      <c r="J172" s="55">
        <f>ROUND(AVERAGE(J146,J158),1)</f>
        <v>6.6</v>
      </c>
      <c r="K172" s="55" t="s">
        <v>1976</v>
      </c>
      <c r="L172" s="55">
        <f>ROUND(AVERAGE(L146,L158),1)</f>
        <v>72.5</v>
      </c>
      <c r="M172" s="55" t="s">
        <v>1977</v>
      </c>
      <c r="N172" s="55">
        <f>ROUND(AVERAGE(N146,N158),1)</f>
        <v>4.7</v>
      </c>
      <c r="O172" s="56" t="s">
        <v>1978</v>
      </c>
    </row>
    <row r="173" spans="1:124" ht="14" thickBot="1">
      <c r="I173" s="50"/>
    </row>
    <row r="174" spans="1:124" s="146" customFormat="1" ht="15">
      <c r="A174" s="19" t="s">
        <v>41</v>
      </c>
      <c r="B174" s="20" t="s">
        <v>1793</v>
      </c>
      <c r="C174" s="20" t="s">
        <v>1794</v>
      </c>
      <c r="D174" s="21" t="s">
        <v>1594</v>
      </c>
      <c r="E174" s="75">
        <v>1992</v>
      </c>
      <c r="F174" s="22">
        <v>9</v>
      </c>
      <c r="G174" s="22">
        <v>3</v>
      </c>
      <c r="H174" s="27" t="s">
        <v>1550</v>
      </c>
      <c r="I174" s="47" t="s">
        <v>544</v>
      </c>
      <c r="J174" s="51">
        <v>3.0920000000000001</v>
      </c>
      <c r="K174" s="51">
        <v>0.311</v>
      </c>
      <c r="L174" s="51">
        <v>92</v>
      </c>
      <c r="M174" s="51">
        <v>3</v>
      </c>
      <c r="N174" s="51">
        <f t="shared" ref="N174:N181" si="20">ROUND(J174*(L174/100),1)</f>
        <v>2.8</v>
      </c>
      <c r="O174" s="52" t="s">
        <v>986</v>
      </c>
      <c r="P174" s="157" t="s">
        <v>1595</v>
      </c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</row>
    <row r="175" spans="1:124" ht="15">
      <c r="A175" s="19" t="s">
        <v>41</v>
      </c>
      <c r="B175" s="20" t="s">
        <v>1793</v>
      </c>
      <c r="C175" s="20" t="s">
        <v>1794</v>
      </c>
      <c r="D175" s="21" t="s">
        <v>1594</v>
      </c>
      <c r="E175" s="75">
        <v>1992</v>
      </c>
      <c r="F175" s="22">
        <v>9</v>
      </c>
      <c r="G175" s="22">
        <v>3</v>
      </c>
      <c r="H175" s="27" t="s">
        <v>1550</v>
      </c>
      <c r="I175" s="48" t="s">
        <v>1597</v>
      </c>
      <c r="J175" s="53">
        <v>0.58699999999999997</v>
      </c>
      <c r="K175" s="53">
        <v>8.5999999999999993E-2</v>
      </c>
      <c r="L175" s="53">
        <v>100</v>
      </c>
      <c r="M175" s="53">
        <v>0</v>
      </c>
      <c r="N175" s="53">
        <f t="shared" si="20"/>
        <v>0.6</v>
      </c>
      <c r="O175" s="54" t="s">
        <v>986</v>
      </c>
      <c r="P175" s="157" t="s">
        <v>1595</v>
      </c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</row>
    <row r="176" spans="1:124" ht="15">
      <c r="A176" s="19" t="s">
        <v>41</v>
      </c>
      <c r="B176" s="20" t="s">
        <v>1793</v>
      </c>
      <c r="C176" s="20" t="s">
        <v>1794</v>
      </c>
      <c r="D176" s="21" t="s">
        <v>1594</v>
      </c>
      <c r="E176" s="75">
        <v>1992</v>
      </c>
      <c r="F176" s="22">
        <v>9</v>
      </c>
      <c r="G176" s="22">
        <v>3</v>
      </c>
      <c r="H176" s="27" t="s">
        <v>1550</v>
      </c>
      <c r="I176" s="48" t="s">
        <v>1742</v>
      </c>
      <c r="J176" s="53">
        <v>8.4000000000000005E-2</v>
      </c>
      <c r="K176" s="53">
        <v>2.1999999999999999E-2</v>
      </c>
      <c r="L176" s="53">
        <v>100</v>
      </c>
      <c r="M176" s="53">
        <v>0</v>
      </c>
      <c r="N176" s="53">
        <f t="shared" si="20"/>
        <v>0.1</v>
      </c>
      <c r="O176" s="54" t="s">
        <v>986</v>
      </c>
      <c r="P176" s="157" t="s">
        <v>1595</v>
      </c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</row>
    <row r="177" spans="1:124" ht="15">
      <c r="A177" s="19" t="s">
        <v>41</v>
      </c>
      <c r="B177" s="20" t="s">
        <v>1793</v>
      </c>
      <c r="C177" s="20" t="s">
        <v>1794</v>
      </c>
      <c r="D177" s="21" t="s">
        <v>1594</v>
      </c>
      <c r="E177" s="75">
        <v>1992</v>
      </c>
      <c r="F177" s="22">
        <v>9</v>
      </c>
      <c r="G177" s="22">
        <v>3</v>
      </c>
      <c r="H177" s="27" t="s">
        <v>1550</v>
      </c>
      <c r="I177" s="48" t="s">
        <v>1662</v>
      </c>
      <c r="J177" s="53">
        <v>0.67100000000000004</v>
      </c>
      <c r="K177" s="53">
        <v>9.0999999999999998E-2</v>
      </c>
      <c r="L177" s="53">
        <v>100</v>
      </c>
      <c r="M177" s="53">
        <v>0</v>
      </c>
      <c r="N177" s="53">
        <f t="shared" si="20"/>
        <v>0.7</v>
      </c>
      <c r="O177" s="54" t="s">
        <v>986</v>
      </c>
      <c r="P177" s="157" t="s">
        <v>1595</v>
      </c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</row>
    <row r="178" spans="1:124" ht="15">
      <c r="A178" s="19" t="s">
        <v>41</v>
      </c>
      <c r="B178" s="20" t="s">
        <v>1793</v>
      </c>
      <c r="C178" s="20" t="s">
        <v>1794</v>
      </c>
      <c r="D178" s="21" t="s">
        <v>1594</v>
      </c>
      <c r="E178" s="75">
        <v>1992</v>
      </c>
      <c r="F178" s="22">
        <v>9</v>
      </c>
      <c r="G178" s="22">
        <v>3</v>
      </c>
      <c r="H178" s="27" t="s">
        <v>1550</v>
      </c>
      <c r="I178" s="48" t="s">
        <v>1261</v>
      </c>
      <c r="J178" s="53">
        <v>7.3999999999999996E-2</v>
      </c>
      <c r="K178" s="53">
        <v>0.02</v>
      </c>
      <c r="L178" s="53">
        <v>98</v>
      </c>
      <c r="M178" s="53">
        <v>1</v>
      </c>
      <c r="N178" s="53">
        <f t="shared" si="20"/>
        <v>0.1</v>
      </c>
      <c r="O178" s="54" t="s">
        <v>986</v>
      </c>
      <c r="P178" s="157" t="s">
        <v>1595</v>
      </c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</row>
    <row r="179" spans="1:124" ht="15">
      <c r="A179" s="19" t="s">
        <v>41</v>
      </c>
      <c r="B179" s="20" t="s">
        <v>1793</v>
      </c>
      <c r="C179" s="20" t="s">
        <v>1794</v>
      </c>
      <c r="D179" s="21" t="s">
        <v>1594</v>
      </c>
      <c r="E179" s="75">
        <v>1992</v>
      </c>
      <c r="F179" s="22">
        <v>9</v>
      </c>
      <c r="G179" s="22">
        <v>3</v>
      </c>
      <c r="H179" s="27" t="s">
        <v>1550</v>
      </c>
      <c r="I179" s="48" t="s">
        <v>1744</v>
      </c>
      <c r="J179" s="53">
        <v>2.5999999999999999E-2</v>
      </c>
      <c r="K179" s="53">
        <v>8.9999999999999993E-3</v>
      </c>
      <c r="L179" s="53">
        <v>55</v>
      </c>
      <c r="M179" s="53">
        <v>12</v>
      </c>
      <c r="N179" s="53">
        <f t="shared" si="20"/>
        <v>0</v>
      </c>
      <c r="O179" s="54" t="s">
        <v>986</v>
      </c>
      <c r="P179" s="157" t="s">
        <v>1595</v>
      </c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</row>
    <row r="180" spans="1:124" ht="15">
      <c r="A180" s="19" t="s">
        <v>41</v>
      </c>
      <c r="B180" s="20" t="s">
        <v>1793</v>
      </c>
      <c r="C180" s="20" t="s">
        <v>1794</v>
      </c>
      <c r="D180" s="21" t="s">
        <v>1594</v>
      </c>
      <c r="E180" s="75">
        <v>1992</v>
      </c>
      <c r="F180" s="22">
        <v>9</v>
      </c>
      <c r="G180" s="22">
        <v>3</v>
      </c>
      <c r="H180" s="27" t="s">
        <v>1550</v>
      </c>
      <c r="I180" s="48" t="s">
        <v>1848</v>
      </c>
      <c r="J180" s="53">
        <v>0.60599999999999998</v>
      </c>
      <c r="K180" s="53">
        <v>6.4000000000000001E-2</v>
      </c>
      <c r="L180" s="53">
        <v>84</v>
      </c>
      <c r="M180" s="53">
        <v>5</v>
      </c>
      <c r="N180" s="53">
        <f t="shared" si="20"/>
        <v>0.5</v>
      </c>
      <c r="O180" s="54" t="s">
        <v>986</v>
      </c>
      <c r="P180" s="157" t="s">
        <v>1595</v>
      </c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</row>
    <row r="181" spans="1:124" ht="15">
      <c r="A181" s="19" t="s">
        <v>41</v>
      </c>
      <c r="B181" s="20" t="s">
        <v>1793</v>
      </c>
      <c r="C181" s="20" t="s">
        <v>1794</v>
      </c>
      <c r="D181" s="21" t="s">
        <v>1594</v>
      </c>
      <c r="E181" s="75">
        <v>1992</v>
      </c>
      <c r="F181" s="22">
        <v>9</v>
      </c>
      <c r="G181" s="22">
        <v>3</v>
      </c>
      <c r="H181" s="27" t="s">
        <v>1550</v>
      </c>
      <c r="I181" s="48" t="s">
        <v>1740</v>
      </c>
      <c r="J181" s="53">
        <v>0.52100000000000002</v>
      </c>
      <c r="K181" s="53">
        <v>5.8000000000000003E-2</v>
      </c>
      <c r="L181" s="53">
        <v>70</v>
      </c>
      <c r="M181" s="53">
        <v>7</v>
      </c>
      <c r="N181" s="53">
        <f t="shared" si="20"/>
        <v>0.4</v>
      </c>
      <c r="O181" s="54" t="s">
        <v>253</v>
      </c>
      <c r="P181" s="157" t="s">
        <v>1595</v>
      </c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</row>
    <row r="182" spans="1:124" ht="15">
      <c r="A182" s="19" t="s">
        <v>41</v>
      </c>
      <c r="B182" s="20" t="s">
        <v>1793</v>
      </c>
      <c r="C182" s="20" t="s">
        <v>1794</v>
      </c>
      <c r="D182" s="21" t="s">
        <v>1594</v>
      </c>
      <c r="E182" s="75">
        <v>1992</v>
      </c>
      <c r="F182" s="22">
        <v>9</v>
      </c>
      <c r="G182" s="22">
        <v>3</v>
      </c>
      <c r="H182" s="27" t="s">
        <v>1550</v>
      </c>
      <c r="I182" s="48" t="s">
        <v>1745</v>
      </c>
      <c r="J182" s="75" t="s">
        <v>1046</v>
      </c>
      <c r="K182" s="75" t="s">
        <v>1046</v>
      </c>
      <c r="L182" s="75" t="s">
        <v>1046</v>
      </c>
      <c r="M182" s="75" t="s">
        <v>1046</v>
      </c>
      <c r="N182" s="53" t="s">
        <v>1398</v>
      </c>
      <c r="O182" s="281" t="s">
        <v>1046</v>
      </c>
      <c r="P182" s="157" t="s">
        <v>1595</v>
      </c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</row>
    <row r="183" spans="1:124" ht="15">
      <c r="A183" s="19" t="s">
        <v>41</v>
      </c>
      <c r="B183" s="20" t="s">
        <v>1793</v>
      </c>
      <c r="C183" s="20" t="s">
        <v>1794</v>
      </c>
      <c r="D183" s="21" t="s">
        <v>1594</v>
      </c>
      <c r="E183" s="75">
        <v>1992</v>
      </c>
      <c r="F183" s="22">
        <v>9</v>
      </c>
      <c r="G183" s="22">
        <v>3</v>
      </c>
      <c r="H183" s="27" t="s">
        <v>1550</v>
      </c>
      <c r="I183" s="48" t="s">
        <v>1523</v>
      </c>
      <c r="J183" s="53">
        <v>0.122</v>
      </c>
      <c r="K183" s="53">
        <v>0.122</v>
      </c>
      <c r="L183" s="53">
        <v>22</v>
      </c>
      <c r="M183" s="53">
        <v>22</v>
      </c>
      <c r="N183" s="53">
        <f>ROUND(J183*(L183/100),1)</f>
        <v>0</v>
      </c>
      <c r="O183" s="54" t="s">
        <v>253</v>
      </c>
      <c r="P183" s="157" t="s">
        <v>1595</v>
      </c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</row>
    <row r="184" spans="1:124" ht="15">
      <c r="A184" s="19" t="s">
        <v>41</v>
      </c>
      <c r="B184" s="20" t="s">
        <v>1793</v>
      </c>
      <c r="C184" s="20" t="s">
        <v>1794</v>
      </c>
      <c r="D184" s="21" t="s">
        <v>1594</v>
      </c>
      <c r="E184" s="75">
        <v>1992</v>
      </c>
      <c r="F184" s="22">
        <v>9</v>
      </c>
      <c r="G184" s="22">
        <v>3</v>
      </c>
      <c r="H184" s="27" t="s">
        <v>1550</v>
      </c>
      <c r="I184" s="48" t="s">
        <v>1158</v>
      </c>
      <c r="J184" s="53">
        <v>1.2490000000000001</v>
      </c>
      <c r="K184" s="53">
        <v>0.17499999999999999</v>
      </c>
      <c r="L184" s="53">
        <v>73</v>
      </c>
      <c r="M184" s="53">
        <v>4</v>
      </c>
      <c r="N184" s="53">
        <f>ROUND(J184*(L184/100),1)</f>
        <v>0.9</v>
      </c>
      <c r="O184" s="54" t="s">
        <v>253</v>
      </c>
      <c r="P184" s="157" t="s">
        <v>1595</v>
      </c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</row>
    <row r="185" spans="1:124" ht="16" thickBot="1">
      <c r="A185" s="19" t="s">
        <v>41</v>
      </c>
      <c r="B185" s="20" t="s">
        <v>1793</v>
      </c>
      <c r="C185" s="20" t="s">
        <v>1794</v>
      </c>
      <c r="D185" s="21" t="s">
        <v>1594</v>
      </c>
      <c r="E185" s="75">
        <v>1992</v>
      </c>
      <c r="F185" s="22">
        <v>9</v>
      </c>
      <c r="G185" s="22">
        <v>3</v>
      </c>
      <c r="H185" s="27" t="s">
        <v>1550</v>
      </c>
      <c r="I185" s="49" t="s">
        <v>556</v>
      </c>
      <c r="J185" s="55">
        <v>5.0999999999999996</v>
      </c>
      <c r="K185" s="55">
        <v>0.39600000000000002</v>
      </c>
      <c r="L185" s="55">
        <v>88</v>
      </c>
      <c r="M185" s="55">
        <v>2</v>
      </c>
      <c r="N185" s="55">
        <f>ROUND(J185*(L185/100),1)</f>
        <v>4.5</v>
      </c>
      <c r="O185" s="56" t="s">
        <v>253</v>
      </c>
      <c r="P185" s="157" t="s">
        <v>1595</v>
      </c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</row>
    <row r="186" spans="1:124">
      <c r="I186" s="50"/>
    </row>
    <row r="187" spans="1:124">
      <c r="A187" s="296"/>
      <c r="B187" s="296"/>
      <c r="C187" s="296"/>
      <c r="D187" s="296"/>
      <c r="E187" s="301"/>
      <c r="F187" s="296"/>
      <c r="G187" s="296"/>
      <c r="H187" s="296"/>
      <c r="I187" s="300"/>
      <c r="J187" s="301"/>
      <c r="K187" s="301"/>
      <c r="L187" s="301"/>
      <c r="M187" s="301"/>
      <c r="N187" s="301"/>
      <c r="O187" s="301"/>
      <c r="P187" s="296"/>
    </row>
    <row r="188" spans="1:124">
      <c r="I188" s="50"/>
    </row>
    <row r="189" spans="1:124">
      <c r="A189" s="19" t="s">
        <v>1690</v>
      </c>
      <c r="B189" s="20" t="s">
        <v>1691</v>
      </c>
      <c r="C189" s="20" t="s">
        <v>1589</v>
      </c>
      <c r="D189" s="21" t="s">
        <v>1596</v>
      </c>
      <c r="E189" s="22">
        <v>1996</v>
      </c>
      <c r="F189" s="22">
        <v>6</v>
      </c>
      <c r="G189" s="22">
        <v>5</v>
      </c>
      <c r="H189" s="19" t="s">
        <v>1550</v>
      </c>
      <c r="I189" s="19" t="s">
        <v>1610</v>
      </c>
      <c r="J189" s="22">
        <v>1.4</v>
      </c>
      <c r="K189" s="22">
        <v>0.08</v>
      </c>
      <c r="L189" s="22">
        <v>38</v>
      </c>
      <c r="M189" s="22" t="s">
        <v>986</v>
      </c>
      <c r="N189" s="22">
        <f t="shared" ref="N189:N209" si="21">J189*(L189/100)</f>
        <v>0.53199999999999992</v>
      </c>
      <c r="O189" s="22" t="s">
        <v>986</v>
      </c>
      <c r="P189" s="21" t="s">
        <v>1611</v>
      </c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</row>
    <row r="190" spans="1:124">
      <c r="A190" s="19"/>
      <c r="B190" s="20"/>
      <c r="C190" s="20"/>
      <c r="D190" s="21"/>
      <c r="E190" s="22"/>
      <c r="F190" s="22"/>
      <c r="G190" s="22"/>
      <c r="H190" s="19"/>
      <c r="I190" s="19" t="s">
        <v>1612</v>
      </c>
      <c r="J190" s="22">
        <v>1.9</v>
      </c>
      <c r="K190" s="22">
        <v>0.13500000000000001</v>
      </c>
      <c r="L190" s="22">
        <v>61</v>
      </c>
      <c r="M190" s="22" t="s">
        <v>986</v>
      </c>
      <c r="N190" s="22">
        <f t="shared" si="21"/>
        <v>1.159</v>
      </c>
      <c r="O190" s="22" t="s">
        <v>986</v>
      </c>
      <c r="P190" s="21" t="s">
        <v>1611</v>
      </c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</row>
    <row r="191" spans="1:124">
      <c r="A191" s="19"/>
      <c r="B191" s="20"/>
      <c r="C191" s="20"/>
      <c r="D191" s="21"/>
      <c r="E191" s="22"/>
      <c r="F191" s="22"/>
      <c r="G191" s="22"/>
      <c r="H191" s="19"/>
      <c r="I191" s="19" t="s">
        <v>1662</v>
      </c>
      <c r="J191" s="22">
        <v>3.3</v>
      </c>
      <c r="K191" s="22">
        <v>0.2</v>
      </c>
      <c r="L191" s="22">
        <v>52</v>
      </c>
      <c r="M191" s="22" t="s">
        <v>986</v>
      </c>
      <c r="N191" s="22">
        <f t="shared" si="21"/>
        <v>1.716</v>
      </c>
      <c r="O191" s="22" t="s">
        <v>986</v>
      </c>
      <c r="P191" s="21" t="s">
        <v>1611</v>
      </c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</row>
    <row r="192" spans="1:124">
      <c r="A192" s="19" t="s">
        <v>1690</v>
      </c>
      <c r="B192" s="20" t="s">
        <v>1691</v>
      </c>
      <c r="C192" s="20" t="s">
        <v>1589</v>
      </c>
      <c r="D192" s="21" t="s">
        <v>1596</v>
      </c>
      <c r="E192" s="22">
        <v>1996</v>
      </c>
      <c r="F192" s="22">
        <v>6</v>
      </c>
      <c r="G192" s="22">
        <v>14</v>
      </c>
      <c r="H192" s="19" t="s">
        <v>1550</v>
      </c>
      <c r="I192" s="19" t="s">
        <v>1613</v>
      </c>
      <c r="J192" s="22">
        <v>1.4</v>
      </c>
      <c r="K192" s="22">
        <v>0.11</v>
      </c>
      <c r="L192" s="22">
        <v>38</v>
      </c>
      <c r="M192" s="22" t="s">
        <v>986</v>
      </c>
      <c r="N192" s="22">
        <f t="shared" si="21"/>
        <v>0.53199999999999992</v>
      </c>
      <c r="O192" s="22" t="s">
        <v>986</v>
      </c>
      <c r="P192" s="21" t="s">
        <v>1611</v>
      </c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8"/>
      <c r="DM192" s="58"/>
      <c r="DN192" s="58"/>
      <c r="DO192" s="58"/>
      <c r="DP192" s="58"/>
      <c r="DQ192" s="58"/>
      <c r="DR192" s="58"/>
      <c r="DS192" s="58"/>
      <c r="DT192" s="58"/>
    </row>
    <row r="193" spans="1:124">
      <c r="A193" s="19"/>
      <c r="B193" s="20"/>
      <c r="C193" s="20"/>
      <c r="D193" s="21"/>
      <c r="E193" s="22"/>
      <c r="F193" s="22"/>
      <c r="G193" s="22"/>
      <c r="H193" s="19"/>
      <c r="I193" s="19" t="s">
        <v>1725</v>
      </c>
      <c r="J193" s="22">
        <v>1.8</v>
      </c>
      <c r="K193" s="22">
        <v>0.125</v>
      </c>
      <c r="L193" s="22">
        <v>49</v>
      </c>
      <c r="M193" s="22" t="s">
        <v>986</v>
      </c>
      <c r="N193" s="22">
        <f t="shared" si="21"/>
        <v>0.88200000000000001</v>
      </c>
      <c r="O193" s="22" t="s">
        <v>986</v>
      </c>
      <c r="P193" s="21" t="s">
        <v>1611</v>
      </c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</row>
    <row r="194" spans="1:124">
      <c r="A194" s="19"/>
      <c r="B194" s="20"/>
      <c r="C194" s="20"/>
      <c r="D194" s="21"/>
      <c r="E194" s="22"/>
      <c r="F194" s="22"/>
      <c r="G194" s="22"/>
      <c r="H194" s="19"/>
      <c r="I194" s="19" t="s">
        <v>1662</v>
      </c>
      <c r="J194" s="22">
        <v>3.2</v>
      </c>
      <c r="K194" s="22">
        <v>0.2</v>
      </c>
      <c r="L194" s="22">
        <v>44</v>
      </c>
      <c r="M194" s="22" t="s">
        <v>986</v>
      </c>
      <c r="N194" s="22">
        <f t="shared" si="21"/>
        <v>1.4080000000000001</v>
      </c>
      <c r="O194" s="22" t="s">
        <v>986</v>
      </c>
      <c r="P194" s="21" t="s">
        <v>1611</v>
      </c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</row>
    <row r="195" spans="1:124">
      <c r="A195" s="19" t="s">
        <v>1690</v>
      </c>
      <c r="B195" s="20" t="s">
        <v>1691</v>
      </c>
      <c r="C195" s="20" t="s">
        <v>1589</v>
      </c>
      <c r="D195" s="21" t="s">
        <v>1596</v>
      </c>
      <c r="E195" s="22">
        <v>1996</v>
      </c>
      <c r="F195" s="22">
        <v>6</v>
      </c>
      <c r="G195" s="22">
        <v>26</v>
      </c>
      <c r="H195" s="19" t="s">
        <v>1550</v>
      </c>
      <c r="I195" s="19" t="s">
        <v>1610</v>
      </c>
      <c r="J195" s="22">
        <v>0.65800000000000003</v>
      </c>
      <c r="K195" s="22">
        <v>0.06</v>
      </c>
      <c r="L195" s="22">
        <v>20</v>
      </c>
      <c r="M195" s="22" t="s">
        <v>986</v>
      </c>
      <c r="N195" s="22">
        <f t="shared" si="21"/>
        <v>0.13160000000000002</v>
      </c>
      <c r="O195" s="22" t="s">
        <v>986</v>
      </c>
      <c r="P195" s="21" t="s">
        <v>1611</v>
      </c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</row>
    <row r="196" spans="1:124">
      <c r="A196" s="19"/>
      <c r="B196" s="20"/>
      <c r="C196" s="20"/>
      <c r="D196" s="21"/>
      <c r="E196" s="22"/>
      <c r="F196" s="22"/>
      <c r="G196" s="22"/>
      <c r="H196" s="19"/>
      <c r="I196" s="19" t="s">
        <v>1612</v>
      </c>
      <c r="J196" s="22">
        <v>1.7470000000000001</v>
      </c>
      <c r="K196" s="22">
        <v>0.18</v>
      </c>
      <c r="L196" s="22">
        <v>100</v>
      </c>
      <c r="M196" s="22" t="s">
        <v>986</v>
      </c>
      <c r="N196" s="22">
        <f t="shared" si="21"/>
        <v>1.7470000000000001</v>
      </c>
      <c r="O196" s="22" t="s">
        <v>986</v>
      </c>
      <c r="P196" s="21" t="s">
        <v>1611</v>
      </c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</row>
    <row r="197" spans="1:124">
      <c r="A197" s="19"/>
      <c r="B197" s="20"/>
      <c r="C197" s="20"/>
      <c r="D197" s="21"/>
      <c r="E197" s="22"/>
      <c r="F197" s="22"/>
      <c r="G197" s="22"/>
      <c r="H197" s="19"/>
      <c r="I197" s="19" t="s">
        <v>1662</v>
      </c>
      <c r="J197" s="22">
        <v>2.4</v>
      </c>
      <c r="K197" s="22">
        <v>0.2</v>
      </c>
      <c r="L197" s="22">
        <v>78</v>
      </c>
      <c r="M197" s="22" t="s">
        <v>986</v>
      </c>
      <c r="N197" s="22">
        <f t="shared" si="21"/>
        <v>1.8719999999999999</v>
      </c>
      <c r="O197" s="22" t="s">
        <v>986</v>
      </c>
      <c r="P197" s="21" t="s">
        <v>1611</v>
      </c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</row>
    <row r="198" spans="1:124">
      <c r="A198" s="19" t="s">
        <v>1690</v>
      </c>
      <c r="B198" s="20" t="s">
        <v>1691</v>
      </c>
      <c r="C198" s="20" t="s">
        <v>1589</v>
      </c>
      <c r="D198" s="21" t="s">
        <v>1596</v>
      </c>
      <c r="E198" s="22">
        <v>1996</v>
      </c>
      <c r="F198" s="22">
        <v>7</v>
      </c>
      <c r="G198" s="22">
        <v>9</v>
      </c>
      <c r="H198" s="19" t="s">
        <v>1550</v>
      </c>
      <c r="I198" s="19" t="s">
        <v>1613</v>
      </c>
      <c r="J198" s="22">
        <v>0.67500000000000004</v>
      </c>
      <c r="K198" s="22">
        <v>6.3E-2</v>
      </c>
      <c r="L198" s="22">
        <v>46</v>
      </c>
      <c r="M198" s="22" t="s">
        <v>986</v>
      </c>
      <c r="N198" s="22">
        <f t="shared" si="21"/>
        <v>0.31050000000000005</v>
      </c>
      <c r="O198" s="22" t="s">
        <v>986</v>
      </c>
      <c r="P198" s="21" t="s">
        <v>1611</v>
      </c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</row>
    <row r="199" spans="1:124">
      <c r="A199" s="19"/>
      <c r="B199" s="20"/>
      <c r="C199" s="20"/>
      <c r="D199" s="21"/>
      <c r="E199" s="22"/>
      <c r="F199" s="22"/>
      <c r="G199" s="22"/>
      <c r="H199" s="19"/>
      <c r="I199" s="19" t="s">
        <v>1612</v>
      </c>
      <c r="J199" s="22">
        <v>2.3149999999999999</v>
      </c>
      <c r="K199" s="22">
        <v>0.27100000000000002</v>
      </c>
      <c r="L199" s="22">
        <v>100</v>
      </c>
      <c r="M199" s="22" t="s">
        <v>253</v>
      </c>
      <c r="N199" s="22">
        <f t="shared" si="21"/>
        <v>2.3149999999999999</v>
      </c>
      <c r="O199" s="22" t="s">
        <v>253</v>
      </c>
      <c r="P199" s="21" t="s">
        <v>1611</v>
      </c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</row>
    <row r="200" spans="1:124">
      <c r="A200" s="19"/>
      <c r="B200" s="20"/>
      <c r="C200" s="20"/>
      <c r="D200" s="21"/>
      <c r="E200" s="22"/>
      <c r="F200" s="22"/>
      <c r="G200" s="22"/>
      <c r="H200" s="19"/>
      <c r="I200" s="19" t="s">
        <v>1662</v>
      </c>
      <c r="J200" s="22">
        <v>3</v>
      </c>
      <c r="K200" s="22">
        <v>0.3</v>
      </c>
      <c r="L200" s="22">
        <v>88</v>
      </c>
      <c r="M200" s="22" t="s">
        <v>253</v>
      </c>
      <c r="N200" s="22">
        <f t="shared" si="21"/>
        <v>2.64</v>
      </c>
      <c r="O200" s="22" t="s">
        <v>253</v>
      </c>
      <c r="P200" s="21" t="s">
        <v>1611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</row>
    <row r="201" spans="1:124">
      <c r="A201" s="19" t="s">
        <v>1690</v>
      </c>
      <c r="B201" s="20" t="s">
        <v>1691</v>
      </c>
      <c r="C201" s="20" t="s">
        <v>1589</v>
      </c>
      <c r="D201" s="21" t="s">
        <v>1596</v>
      </c>
      <c r="E201" s="22">
        <v>1996</v>
      </c>
      <c r="F201" s="22">
        <v>7</v>
      </c>
      <c r="G201" s="22">
        <v>18</v>
      </c>
      <c r="H201" s="19" t="s">
        <v>1550</v>
      </c>
      <c r="I201" s="19" t="s">
        <v>1613</v>
      </c>
      <c r="J201" s="22">
        <v>0.63200000000000001</v>
      </c>
      <c r="K201" s="22">
        <v>0.106</v>
      </c>
      <c r="L201" s="22">
        <v>47</v>
      </c>
      <c r="M201" s="22" t="s">
        <v>253</v>
      </c>
      <c r="N201" s="22">
        <f t="shared" si="21"/>
        <v>0.29703999999999997</v>
      </c>
      <c r="O201" s="22" t="s">
        <v>253</v>
      </c>
      <c r="P201" s="21" t="s">
        <v>1611</v>
      </c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</row>
    <row r="202" spans="1:124">
      <c r="A202" s="19"/>
      <c r="B202" s="20"/>
      <c r="C202" s="20"/>
      <c r="D202" s="21"/>
      <c r="E202" s="22"/>
      <c r="F202" s="22"/>
      <c r="G202" s="22"/>
      <c r="H202" s="19"/>
      <c r="I202" s="19" t="s">
        <v>1612</v>
      </c>
      <c r="J202" s="22">
        <v>2</v>
      </c>
      <c r="K202" s="22">
        <v>0.26800000000000002</v>
      </c>
      <c r="L202" s="22">
        <v>100</v>
      </c>
      <c r="M202" s="22" t="s">
        <v>253</v>
      </c>
      <c r="N202" s="22">
        <f t="shared" si="21"/>
        <v>2</v>
      </c>
      <c r="O202" s="22" t="s">
        <v>253</v>
      </c>
      <c r="P202" s="21" t="s">
        <v>1611</v>
      </c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</row>
    <row r="203" spans="1:124">
      <c r="A203" s="19"/>
      <c r="B203" s="20"/>
      <c r="C203" s="20"/>
      <c r="D203" s="21"/>
      <c r="E203" s="22"/>
      <c r="F203" s="22"/>
      <c r="G203" s="22"/>
      <c r="H203" s="19"/>
      <c r="I203" s="19" t="s">
        <v>1662</v>
      </c>
      <c r="J203" s="22">
        <v>2.7</v>
      </c>
      <c r="K203" s="22">
        <v>0.4</v>
      </c>
      <c r="L203" s="22">
        <v>87</v>
      </c>
      <c r="M203" s="22" t="s">
        <v>253</v>
      </c>
      <c r="N203" s="22">
        <f t="shared" si="21"/>
        <v>2.3490000000000002</v>
      </c>
      <c r="O203" s="22" t="s">
        <v>253</v>
      </c>
      <c r="P203" s="21" t="s">
        <v>1611</v>
      </c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</row>
    <row r="204" spans="1:124">
      <c r="A204" s="19" t="s">
        <v>1690</v>
      </c>
      <c r="B204" s="20" t="s">
        <v>1691</v>
      </c>
      <c r="C204" s="20" t="s">
        <v>1589</v>
      </c>
      <c r="D204" s="21" t="s">
        <v>1596</v>
      </c>
      <c r="E204" s="22">
        <v>1996</v>
      </c>
      <c r="F204" s="22">
        <v>7</v>
      </c>
      <c r="G204" s="22">
        <v>26</v>
      </c>
      <c r="H204" s="19" t="s">
        <v>1550</v>
      </c>
      <c r="I204" s="19" t="s">
        <v>1613</v>
      </c>
      <c r="J204" s="22">
        <v>0.59799999999999998</v>
      </c>
      <c r="K204" s="22">
        <v>8.3000000000000004E-2</v>
      </c>
      <c r="L204" s="22">
        <v>58</v>
      </c>
      <c r="M204" s="22" t="s">
        <v>253</v>
      </c>
      <c r="N204" s="22">
        <f t="shared" si="21"/>
        <v>0.34683999999999998</v>
      </c>
      <c r="O204" s="22" t="s">
        <v>253</v>
      </c>
      <c r="P204" s="21" t="s">
        <v>1611</v>
      </c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</row>
    <row r="205" spans="1:124">
      <c r="A205" s="19"/>
      <c r="B205" s="20"/>
      <c r="C205" s="20"/>
      <c r="D205" s="21"/>
      <c r="E205" s="22"/>
      <c r="F205" s="22"/>
      <c r="G205" s="22"/>
      <c r="H205" s="19"/>
      <c r="I205" s="19" t="s">
        <v>1612</v>
      </c>
      <c r="J205" s="22">
        <v>1.286</v>
      </c>
      <c r="K205" s="22">
        <v>0.20699999999999999</v>
      </c>
      <c r="L205" s="22">
        <v>80</v>
      </c>
      <c r="M205" s="22" t="s">
        <v>253</v>
      </c>
      <c r="N205" s="22">
        <f t="shared" si="21"/>
        <v>1.0288000000000002</v>
      </c>
      <c r="O205" s="22" t="s">
        <v>253</v>
      </c>
      <c r="P205" s="21" t="s">
        <v>1611</v>
      </c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</row>
    <row r="206" spans="1:124">
      <c r="A206" s="19"/>
      <c r="B206" s="20"/>
      <c r="C206" s="20"/>
      <c r="D206" s="21"/>
      <c r="E206" s="22"/>
      <c r="F206" s="22"/>
      <c r="G206" s="22"/>
      <c r="H206" s="19"/>
      <c r="I206" s="19" t="s">
        <v>1662</v>
      </c>
      <c r="J206" s="22">
        <v>1.9</v>
      </c>
      <c r="K206" s="22">
        <v>0.3</v>
      </c>
      <c r="L206" s="22">
        <v>73</v>
      </c>
      <c r="M206" s="22" t="s">
        <v>253</v>
      </c>
      <c r="N206" s="22">
        <f t="shared" si="21"/>
        <v>1.387</v>
      </c>
      <c r="O206" s="22" t="s">
        <v>253</v>
      </c>
      <c r="P206" s="21" t="s">
        <v>1611</v>
      </c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</row>
    <row r="207" spans="1:124">
      <c r="A207" s="19" t="s">
        <v>1690</v>
      </c>
      <c r="B207" s="20" t="s">
        <v>1691</v>
      </c>
      <c r="C207" s="20" t="s">
        <v>1589</v>
      </c>
      <c r="D207" s="21" t="s">
        <v>1596</v>
      </c>
      <c r="E207" s="22">
        <v>1996</v>
      </c>
      <c r="F207" s="22">
        <v>8</v>
      </c>
      <c r="G207" s="22">
        <v>6</v>
      </c>
      <c r="H207" s="19" t="s">
        <v>1550</v>
      </c>
      <c r="I207" s="19" t="s">
        <v>1613</v>
      </c>
      <c r="J207" s="22">
        <v>0.64800000000000002</v>
      </c>
      <c r="K207" s="22">
        <v>0.107</v>
      </c>
      <c r="L207" s="22">
        <v>90</v>
      </c>
      <c r="M207" s="22" t="s">
        <v>1726</v>
      </c>
      <c r="N207" s="22">
        <f t="shared" si="21"/>
        <v>0.58320000000000005</v>
      </c>
      <c r="O207" s="22" t="s">
        <v>1726</v>
      </c>
      <c r="P207" s="21" t="s">
        <v>1611</v>
      </c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</row>
    <row r="208" spans="1:124">
      <c r="A208" s="19"/>
      <c r="B208" s="20"/>
      <c r="C208" s="20"/>
      <c r="D208" s="21"/>
      <c r="E208" s="22"/>
      <c r="F208" s="22"/>
      <c r="G208" s="22"/>
      <c r="H208" s="19"/>
      <c r="I208" s="19" t="s">
        <v>1612</v>
      </c>
      <c r="J208" s="22">
        <v>2.5390000000000001</v>
      </c>
      <c r="K208" s="22">
        <v>0.11799999999999999</v>
      </c>
      <c r="L208" s="22">
        <v>100</v>
      </c>
      <c r="M208" s="22" t="s">
        <v>986</v>
      </c>
      <c r="N208" s="22">
        <f t="shared" si="21"/>
        <v>2.5390000000000001</v>
      </c>
      <c r="O208" s="22" t="s">
        <v>986</v>
      </c>
      <c r="P208" s="21" t="s">
        <v>1611</v>
      </c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</row>
    <row r="209" spans="1:124">
      <c r="A209" s="19"/>
      <c r="B209" s="20"/>
      <c r="C209" s="20"/>
      <c r="D209" s="21"/>
      <c r="E209" s="22"/>
      <c r="F209" s="22"/>
      <c r="G209" s="22"/>
      <c r="H209" s="19"/>
      <c r="I209" s="19" t="s">
        <v>1662</v>
      </c>
      <c r="J209" s="22">
        <v>3.2</v>
      </c>
      <c r="K209" s="22">
        <v>0.3</v>
      </c>
      <c r="L209" s="22">
        <v>98</v>
      </c>
      <c r="M209" s="22" t="s">
        <v>986</v>
      </c>
      <c r="N209" s="22">
        <f t="shared" si="21"/>
        <v>3.1360000000000001</v>
      </c>
      <c r="O209" s="22" t="s">
        <v>986</v>
      </c>
      <c r="P209" s="21" t="s">
        <v>1611</v>
      </c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</row>
    <row r="210" spans="1:124" s="146" customFormat="1">
      <c r="A210" s="19" t="s">
        <v>1690</v>
      </c>
      <c r="B210" s="20" t="s">
        <v>1691</v>
      </c>
      <c r="C210" s="20" t="s">
        <v>1589</v>
      </c>
      <c r="D210" s="21" t="s">
        <v>1596</v>
      </c>
      <c r="E210" s="22">
        <v>1996</v>
      </c>
      <c r="F210" s="22">
        <v>6</v>
      </c>
      <c r="G210" s="22">
        <v>6</v>
      </c>
      <c r="H210" s="19" t="s">
        <v>1550</v>
      </c>
      <c r="I210" s="19" t="s">
        <v>1613</v>
      </c>
      <c r="J210" s="22">
        <v>0.439</v>
      </c>
      <c r="K210" s="22">
        <v>7.2999999999999995E-2</v>
      </c>
      <c r="L210" s="22" t="s">
        <v>986</v>
      </c>
      <c r="M210" s="22" t="s">
        <v>986</v>
      </c>
      <c r="N210" s="22" t="s">
        <v>986</v>
      </c>
      <c r="O210" s="22" t="s">
        <v>986</v>
      </c>
      <c r="P210" s="21" t="s">
        <v>1727</v>
      </c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</row>
    <row r="211" spans="1:124" s="146" customFormat="1">
      <c r="A211" s="19"/>
      <c r="B211" s="20"/>
      <c r="C211" s="20"/>
      <c r="D211" s="21"/>
      <c r="E211" s="22"/>
      <c r="F211" s="22"/>
      <c r="G211" s="22"/>
      <c r="H211" s="19"/>
      <c r="I211" s="19" t="s">
        <v>1728</v>
      </c>
      <c r="J211" s="22">
        <v>0.64300000000000002</v>
      </c>
      <c r="K211" s="22">
        <v>3.6999999999999998E-2</v>
      </c>
      <c r="L211" s="22">
        <v>25</v>
      </c>
      <c r="M211" s="22" t="s">
        <v>986</v>
      </c>
      <c r="N211" s="22">
        <f>J211*(L211/100)</f>
        <v>0.16075</v>
      </c>
      <c r="O211" s="22" t="s">
        <v>986</v>
      </c>
      <c r="P211" s="21" t="s">
        <v>1727</v>
      </c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</row>
    <row r="212" spans="1:124" s="146" customFormat="1">
      <c r="A212" s="19"/>
      <c r="B212" s="20"/>
      <c r="C212" s="20"/>
      <c r="D212" s="21"/>
      <c r="E212" s="22"/>
      <c r="F212" s="22"/>
      <c r="G212" s="22"/>
      <c r="H212" s="19"/>
      <c r="I212" s="19" t="s">
        <v>1662</v>
      </c>
      <c r="J212" s="22">
        <v>1.0820000000000001</v>
      </c>
      <c r="K212" s="22">
        <v>0.11</v>
      </c>
      <c r="L212" s="22">
        <v>13</v>
      </c>
      <c r="M212" s="22" t="s">
        <v>986</v>
      </c>
      <c r="N212" s="22">
        <f>J212*(L212/100)</f>
        <v>0.14066000000000001</v>
      </c>
      <c r="O212" s="22" t="s">
        <v>986</v>
      </c>
      <c r="P212" s="21" t="s">
        <v>1727</v>
      </c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</row>
    <row r="213" spans="1:124" s="146" customFormat="1">
      <c r="A213" s="19"/>
      <c r="B213" s="20"/>
      <c r="C213" s="20"/>
      <c r="D213" s="21"/>
      <c r="E213" s="22"/>
      <c r="F213" s="22"/>
      <c r="G213" s="22"/>
      <c r="H213" s="19"/>
      <c r="I213" s="19" t="s">
        <v>544</v>
      </c>
      <c r="J213" s="22">
        <v>3.5470000000000002</v>
      </c>
      <c r="K213" s="22">
        <v>0.254</v>
      </c>
      <c r="L213" s="22" t="s">
        <v>253</v>
      </c>
      <c r="M213" s="22" t="s">
        <v>253</v>
      </c>
      <c r="N213" s="22" t="s">
        <v>253</v>
      </c>
      <c r="O213" s="22" t="s">
        <v>253</v>
      </c>
      <c r="P213" s="21" t="s">
        <v>1727</v>
      </c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</row>
    <row r="214" spans="1:124" s="146" customFormat="1">
      <c r="A214" s="19"/>
      <c r="B214" s="20"/>
      <c r="C214" s="20"/>
      <c r="D214" s="21"/>
      <c r="E214" s="22"/>
      <c r="F214" s="22"/>
      <c r="G214" s="22"/>
      <c r="H214" s="19"/>
      <c r="I214" s="19" t="s">
        <v>1635</v>
      </c>
      <c r="J214" s="22">
        <v>0.47099999999999997</v>
      </c>
      <c r="K214" s="22">
        <v>5.6000000000000001E-2</v>
      </c>
      <c r="L214" s="22">
        <v>18</v>
      </c>
      <c r="M214" s="22" t="s">
        <v>253</v>
      </c>
      <c r="N214" s="22">
        <f>J214*(L214/100)</f>
        <v>8.4779999999999994E-2</v>
      </c>
      <c r="O214" s="22" t="s">
        <v>253</v>
      </c>
      <c r="P214" s="21" t="s">
        <v>1727</v>
      </c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</row>
    <row r="215" spans="1:124" s="146" customFormat="1">
      <c r="A215" s="19"/>
      <c r="B215" s="20"/>
      <c r="C215" s="20"/>
      <c r="D215" s="21"/>
      <c r="E215" s="22"/>
      <c r="F215" s="22"/>
      <c r="G215" s="22"/>
      <c r="H215" s="19"/>
      <c r="I215" s="19" t="s">
        <v>1729</v>
      </c>
      <c r="J215" s="22">
        <v>0.69</v>
      </c>
      <c r="K215" s="22">
        <v>3.2000000000000001E-2</v>
      </c>
      <c r="L215" s="22" t="s">
        <v>986</v>
      </c>
      <c r="M215" s="22" t="s">
        <v>986</v>
      </c>
      <c r="N215" s="22" t="s">
        <v>986</v>
      </c>
      <c r="O215" s="22" t="s">
        <v>986</v>
      </c>
      <c r="P215" s="21" t="s">
        <v>1727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</row>
    <row r="216" spans="1:124" s="146" customFormat="1">
      <c r="A216" s="19"/>
      <c r="B216" s="20"/>
      <c r="C216" s="20"/>
      <c r="D216" s="21"/>
      <c r="E216" s="22"/>
      <c r="F216" s="22"/>
      <c r="G216" s="22"/>
      <c r="H216" s="19"/>
      <c r="I216" s="19" t="s">
        <v>1637</v>
      </c>
      <c r="J216" s="22">
        <v>1.2789999999999999</v>
      </c>
      <c r="K216" s="22">
        <v>8.4000000000000005E-2</v>
      </c>
      <c r="L216" s="22">
        <v>8</v>
      </c>
      <c r="M216" s="22" t="s">
        <v>253</v>
      </c>
      <c r="N216" s="22">
        <f>J216*(L216/100)</f>
        <v>0.10231999999999999</v>
      </c>
      <c r="O216" s="22" t="s">
        <v>986</v>
      </c>
      <c r="P216" s="21" t="s">
        <v>1727</v>
      </c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</row>
    <row r="217" spans="1:124" s="146" customFormat="1">
      <c r="A217" s="19"/>
      <c r="B217" s="20"/>
      <c r="C217" s="20"/>
      <c r="D217" s="21"/>
      <c r="E217" s="22"/>
      <c r="F217" s="22"/>
      <c r="G217" s="22"/>
      <c r="H217" s="19"/>
      <c r="I217" s="19" t="s">
        <v>1638</v>
      </c>
      <c r="J217" s="22">
        <v>1.9</v>
      </c>
      <c r="K217" s="22">
        <v>0.129</v>
      </c>
      <c r="L217" s="22" t="s">
        <v>986</v>
      </c>
      <c r="M217" s="22" t="s">
        <v>986</v>
      </c>
      <c r="N217" s="22" t="s">
        <v>986</v>
      </c>
      <c r="O217" s="22" t="s">
        <v>986</v>
      </c>
      <c r="P217" s="21" t="s">
        <v>1727</v>
      </c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</row>
    <row r="218" spans="1:124" s="146" customFormat="1">
      <c r="A218" s="19"/>
      <c r="B218" s="20"/>
      <c r="C218" s="20"/>
      <c r="D218" s="21"/>
      <c r="E218" s="22"/>
      <c r="F218" s="22"/>
      <c r="G218" s="22"/>
      <c r="H218" s="19"/>
      <c r="I218" s="19" t="s">
        <v>1808</v>
      </c>
      <c r="J218" s="22">
        <v>3.2</v>
      </c>
      <c r="K218" s="22">
        <v>0.21299999999999999</v>
      </c>
      <c r="L218" s="22">
        <v>2</v>
      </c>
      <c r="M218" s="22" t="s">
        <v>253</v>
      </c>
      <c r="N218" s="22">
        <f>J218*(L218/100)</f>
        <v>6.4000000000000001E-2</v>
      </c>
      <c r="O218" s="22" t="s">
        <v>253</v>
      </c>
      <c r="P218" s="21" t="s">
        <v>1727</v>
      </c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</row>
    <row r="219" spans="1:124" s="146" customFormat="1">
      <c r="A219" s="19"/>
      <c r="B219" s="20"/>
      <c r="C219" s="20"/>
      <c r="D219" s="21"/>
      <c r="E219" s="22"/>
      <c r="F219" s="22"/>
      <c r="G219" s="22"/>
      <c r="H219" s="19"/>
      <c r="I219" s="19" t="s">
        <v>485</v>
      </c>
      <c r="J219" s="22">
        <v>9</v>
      </c>
      <c r="K219" s="22">
        <v>0.7</v>
      </c>
      <c r="L219" s="22">
        <v>1</v>
      </c>
      <c r="M219" s="22" t="s">
        <v>253</v>
      </c>
      <c r="N219" s="22">
        <f>J219*(L219/100)</f>
        <v>0.09</v>
      </c>
      <c r="O219" s="22" t="s">
        <v>253</v>
      </c>
      <c r="P219" s="21" t="s">
        <v>1727</v>
      </c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</row>
    <row r="220" spans="1:124" s="146" customFormat="1">
      <c r="A220" s="19" t="s">
        <v>1690</v>
      </c>
      <c r="B220" s="20" t="s">
        <v>1691</v>
      </c>
      <c r="C220" s="20" t="s">
        <v>1589</v>
      </c>
      <c r="D220" s="21" t="s">
        <v>1596</v>
      </c>
      <c r="E220" s="22">
        <v>1996</v>
      </c>
      <c r="F220" s="22">
        <v>6</v>
      </c>
      <c r="G220" s="22">
        <v>8</v>
      </c>
      <c r="H220" s="19" t="s">
        <v>1550</v>
      </c>
      <c r="I220" s="19" t="s">
        <v>1809</v>
      </c>
      <c r="J220" s="22">
        <v>0.21</v>
      </c>
      <c r="K220" s="22">
        <v>1.7999999999999999E-2</v>
      </c>
      <c r="L220" s="22">
        <v>84</v>
      </c>
      <c r="M220" s="22" t="s">
        <v>986</v>
      </c>
      <c r="N220" s="22">
        <f>J220*(L220/100)</f>
        <v>0.17639999999999997</v>
      </c>
      <c r="O220" s="22" t="s">
        <v>986</v>
      </c>
      <c r="P220" s="21" t="s">
        <v>1727</v>
      </c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</row>
    <row r="221" spans="1:124" s="146" customFormat="1">
      <c r="A221" s="19"/>
      <c r="B221" s="20"/>
      <c r="C221" s="20"/>
      <c r="D221" s="21"/>
      <c r="E221" s="22"/>
      <c r="F221" s="22"/>
      <c r="G221" s="22"/>
      <c r="H221" s="19"/>
      <c r="I221" s="19" t="s">
        <v>1728</v>
      </c>
      <c r="J221" s="22">
        <v>0.78700000000000003</v>
      </c>
      <c r="K221" s="22">
        <v>3.2000000000000001E-2</v>
      </c>
      <c r="L221" s="22" t="s">
        <v>253</v>
      </c>
      <c r="M221" s="22" t="s">
        <v>253</v>
      </c>
      <c r="N221" s="22" t="s">
        <v>253</v>
      </c>
      <c r="O221" s="22" t="s">
        <v>253</v>
      </c>
      <c r="P221" s="21" t="s">
        <v>1727</v>
      </c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</row>
    <row r="222" spans="1:124" s="146" customFormat="1">
      <c r="A222" s="19"/>
      <c r="B222" s="20"/>
      <c r="C222" s="20"/>
      <c r="D222" s="21"/>
      <c r="E222" s="22"/>
      <c r="F222" s="22"/>
      <c r="G222" s="22"/>
      <c r="H222" s="19"/>
      <c r="I222" s="19" t="s">
        <v>1662</v>
      </c>
      <c r="J222" s="22">
        <v>0.997</v>
      </c>
      <c r="K222" s="22">
        <v>0.05</v>
      </c>
      <c r="L222" s="22">
        <v>12</v>
      </c>
      <c r="M222" s="22" t="s">
        <v>253</v>
      </c>
      <c r="N222" s="22">
        <f>J222*(L222/100)</f>
        <v>0.11964</v>
      </c>
      <c r="O222" s="22" t="s">
        <v>253</v>
      </c>
      <c r="P222" s="21" t="s">
        <v>1727</v>
      </c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</row>
    <row r="223" spans="1:124" s="146" customFormat="1">
      <c r="A223" s="19"/>
      <c r="B223" s="20"/>
      <c r="C223" s="20"/>
      <c r="D223" s="21"/>
      <c r="E223" s="22"/>
      <c r="F223" s="22"/>
      <c r="G223" s="22"/>
      <c r="H223" s="19"/>
      <c r="I223" s="19" t="s">
        <v>544</v>
      </c>
      <c r="J223" s="22">
        <v>3.99</v>
      </c>
      <c r="K223" s="22">
        <v>0.27600000000000002</v>
      </c>
      <c r="L223" s="22">
        <v>9</v>
      </c>
      <c r="M223" s="22" t="s">
        <v>253</v>
      </c>
      <c r="N223" s="22">
        <f>J223*(L223/100)</f>
        <v>0.35910000000000003</v>
      </c>
      <c r="O223" s="22" t="s">
        <v>253</v>
      </c>
      <c r="P223" s="21" t="s">
        <v>1727</v>
      </c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</row>
    <row r="224" spans="1:124" s="146" customFormat="1">
      <c r="A224" s="19"/>
      <c r="B224" s="20"/>
      <c r="C224" s="20"/>
      <c r="D224" s="21"/>
      <c r="E224" s="22"/>
      <c r="F224" s="22"/>
      <c r="G224" s="22"/>
      <c r="H224" s="19"/>
      <c r="I224" s="19" t="s">
        <v>1635</v>
      </c>
      <c r="J224" s="22">
        <v>0.51900000000000002</v>
      </c>
      <c r="K224" s="22">
        <v>6.8000000000000005E-2</v>
      </c>
      <c r="L224" s="22" t="s">
        <v>253</v>
      </c>
      <c r="M224" s="22" t="s">
        <v>253</v>
      </c>
      <c r="N224" s="22" t="s">
        <v>253</v>
      </c>
      <c r="O224" s="22" t="s">
        <v>253</v>
      </c>
      <c r="P224" s="21" t="s">
        <v>1727</v>
      </c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</row>
    <row r="225" spans="1:124" s="146" customFormat="1">
      <c r="A225" s="19"/>
      <c r="B225" s="20"/>
      <c r="C225" s="20"/>
      <c r="D225" s="21"/>
      <c r="E225" s="22"/>
      <c r="F225" s="22"/>
      <c r="G225" s="22"/>
      <c r="H225" s="19"/>
      <c r="I225" s="19" t="s">
        <v>1729</v>
      </c>
      <c r="J225" s="22">
        <v>0.51700000000000002</v>
      </c>
      <c r="K225" s="22">
        <v>0.104</v>
      </c>
      <c r="L225" s="22">
        <v>28</v>
      </c>
      <c r="M225" s="22" t="s">
        <v>253</v>
      </c>
      <c r="N225" s="22">
        <f>J225*(L225/100)</f>
        <v>0.14476000000000003</v>
      </c>
      <c r="O225" s="22" t="s">
        <v>253</v>
      </c>
      <c r="P225" s="21" t="s">
        <v>1727</v>
      </c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</row>
    <row r="226" spans="1:124" s="146" customFormat="1">
      <c r="A226" s="19"/>
      <c r="B226" s="20"/>
      <c r="C226" s="20"/>
      <c r="D226" s="21"/>
      <c r="E226" s="22"/>
      <c r="F226" s="22"/>
      <c r="G226" s="22"/>
      <c r="H226" s="19"/>
      <c r="I226" s="19" t="s">
        <v>1637</v>
      </c>
      <c r="J226" s="22">
        <v>1.756</v>
      </c>
      <c r="K226" s="22">
        <v>0.247</v>
      </c>
      <c r="L226" s="22">
        <v>32</v>
      </c>
      <c r="M226" s="22" t="s">
        <v>253</v>
      </c>
      <c r="N226" s="22">
        <f>J226*(L226/100)</f>
        <v>0.56191999999999998</v>
      </c>
      <c r="O226" s="22" t="s">
        <v>253</v>
      </c>
      <c r="P226" s="21" t="s">
        <v>1727</v>
      </c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</row>
    <row r="227" spans="1:124" s="146" customFormat="1">
      <c r="A227" s="19"/>
      <c r="B227" s="20"/>
      <c r="C227" s="20"/>
      <c r="D227" s="21"/>
      <c r="E227" s="22"/>
      <c r="F227" s="22"/>
      <c r="G227" s="22"/>
      <c r="H227" s="19"/>
      <c r="I227" s="19" t="s">
        <v>1638</v>
      </c>
      <c r="J227" s="22">
        <v>3.5990000000000002</v>
      </c>
      <c r="K227" s="22">
        <v>0.373</v>
      </c>
      <c r="L227" s="22">
        <v>44</v>
      </c>
      <c r="M227" s="22" t="s">
        <v>253</v>
      </c>
      <c r="N227" s="22">
        <f>J227*(L227/100)</f>
        <v>1.5835600000000001</v>
      </c>
      <c r="O227" s="22" t="s">
        <v>253</v>
      </c>
      <c r="P227" s="21" t="s">
        <v>1727</v>
      </c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</row>
    <row r="228" spans="1:124" s="146" customFormat="1">
      <c r="A228" s="19"/>
      <c r="B228" s="20"/>
      <c r="C228" s="20"/>
      <c r="D228" s="21"/>
      <c r="E228" s="22"/>
      <c r="F228" s="22"/>
      <c r="G228" s="22"/>
      <c r="H228" s="19"/>
      <c r="I228" s="19" t="s">
        <v>1808</v>
      </c>
      <c r="J228" s="22">
        <v>5.3550000000000004</v>
      </c>
      <c r="K228" s="22">
        <v>0.62</v>
      </c>
      <c r="L228" s="22">
        <v>40</v>
      </c>
      <c r="M228" s="22" t="s">
        <v>253</v>
      </c>
      <c r="N228" s="22">
        <f>J228*(L228/100)</f>
        <v>2.1420000000000003</v>
      </c>
      <c r="O228" s="22" t="s">
        <v>253</v>
      </c>
      <c r="P228" s="21" t="s">
        <v>1727</v>
      </c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</row>
    <row r="229" spans="1:124" s="146" customFormat="1">
      <c r="A229" s="19"/>
      <c r="B229" s="20"/>
      <c r="C229" s="20"/>
      <c r="D229" s="21"/>
      <c r="E229" s="22"/>
      <c r="F229" s="22"/>
      <c r="G229" s="22"/>
      <c r="H229" s="19"/>
      <c r="I229" s="19" t="s">
        <v>485</v>
      </c>
      <c r="J229" s="22">
        <v>11.4</v>
      </c>
      <c r="K229" s="22">
        <v>0.1</v>
      </c>
      <c r="L229" s="22">
        <v>22</v>
      </c>
      <c r="M229" s="22" t="s">
        <v>253</v>
      </c>
      <c r="N229" s="22">
        <v>2.5</v>
      </c>
      <c r="O229" s="22" t="s">
        <v>253</v>
      </c>
      <c r="P229" s="21" t="s">
        <v>1727</v>
      </c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</row>
    <row r="230" spans="1:124" s="146" customFormat="1">
      <c r="A230" s="19" t="s">
        <v>1690</v>
      </c>
      <c r="B230" s="20" t="s">
        <v>1691</v>
      </c>
      <c r="C230" s="20" t="s">
        <v>1589</v>
      </c>
      <c r="D230" s="21" t="s">
        <v>1596</v>
      </c>
      <c r="E230" s="22">
        <v>1996</v>
      </c>
      <c r="F230" s="22">
        <v>7</v>
      </c>
      <c r="G230" s="22">
        <v>5</v>
      </c>
      <c r="H230" s="19" t="s">
        <v>1550</v>
      </c>
      <c r="I230" s="19" t="s">
        <v>1613</v>
      </c>
      <c r="J230" s="22">
        <v>0.46300000000000002</v>
      </c>
      <c r="K230" s="22">
        <v>9.5000000000000001E-2</v>
      </c>
      <c r="L230" s="22">
        <v>59</v>
      </c>
      <c r="M230" s="22" t="s">
        <v>253</v>
      </c>
      <c r="N230" s="22">
        <f>J230*(L230/100)</f>
        <v>0.27317000000000002</v>
      </c>
      <c r="O230" s="22" t="s">
        <v>253</v>
      </c>
      <c r="P230" s="21" t="s">
        <v>1727</v>
      </c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</row>
    <row r="231" spans="1:124" s="146" customFormat="1">
      <c r="A231" s="19"/>
      <c r="B231" s="20"/>
      <c r="C231" s="20"/>
      <c r="D231" s="21"/>
      <c r="E231" s="22"/>
      <c r="F231" s="22"/>
      <c r="G231" s="22"/>
      <c r="H231" s="19"/>
      <c r="I231" s="19" t="s">
        <v>1728</v>
      </c>
      <c r="J231" s="22">
        <v>0.84199999999999997</v>
      </c>
      <c r="K231" s="22">
        <v>6.7000000000000004E-2</v>
      </c>
      <c r="L231" s="22" t="s">
        <v>253</v>
      </c>
      <c r="M231" s="22" t="s">
        <v>253</v>
      </c>
      <c r="N231" s="22" t="s">
        <v>253</v>
      </c>
      <c r="O231" s="22" t="s">
        <v>253</v>
      </c>
      <c r="P231" s="21" t="s">
        <v>1727</v>
      </c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</row>
    <row r="232" spans="1:124" s="146" customFormat="1">
      <c r="A232" s="19"/>
      <c r="B232" s="20"/>
      <c r="C232" s="20"/>
      <c r="D232" s="21"/>
      <c r="E232" s="22"/>
      <c r="F232" s="22"/>
      <c r="G232" s="22"/>
      <c r="H232" s="19"/>
      <c r="I232" s="19" t="s">
        <v>1662</v>
      </c>
      <c r="J232" s="22">
        <v>1.3049999999999999</v>
      </c>
      <c r="K232" s="22">
        <v>0.16200000000000001</v>
      </c>
      <c r="L232" s="22">
        <v>10</v>
      </c>
      <c r="M232" s="22" t="s">
        <v>253</v>
      </c>
      <c r="N232" s="22">
        <f>J232*(L232/100)</f>
        <v>0.1305</v>
      </c>
      <c r="O232" s="22" t="s">
        <v>253</v>
      </c>
      <c r="P232" s="21" t="s">
        <v>1727</v>
      </c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</row>
    <row r="233" spans="1:124" s="146" customFormat="1">
      <c r="A233" s="19"/>
      <c r="B233" s="20"/>
      <c r="C233" s="20"/>
      <c r="D233" s="21"/>
      <c r="E233" s="22"/>
      <c r="F233" s="22"/>
      <c r="G233" s="22"/>
      <c r="H233" s="19"/>
      <c r="I233" s="19" t="s">
        <v>544</v>
      </c>
      <c r="J233" s="22">
        <v>2.629</v>
      </c>
      <c r="K233" s="22">
        <v>0.14499999999999999</v>
      </c>
      <c r="L233" s="22">
        <v>14</v>
      </c>
      <c r="M233" s="22" t="s">
        <v>253</v>
      </c>
      <c r="N233" s="22">
        <f>J233*(L233/100)</f>
        <v>0.36806000000000005</v>
      </c>
      <c r="O233" s="22" t="s">
        <v>253</v>
      </c>
      <c r="P233" s="21" t="s">
        <v>1727</v>
      </c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</row>
    <row r="234" spans="1:124" s="146" customFormat="1">
      <c r="A234" s="19"/>
      <c r="B234" s="20"/>
      <c r="C234" s="20"/>
      <c r="D234" s="21"/>
      <c r="E234" s="22"/>
      <c r="F234" s="22"/>
      <c r="G234" s="22"/>
      <c r="H234" s="19"/>
      <c r="I234" s="19" t="s">
        <v>1635</v>
      </c>
      <c r="J234" s="22">
        <v>1.5469999999999999</v>
      </c>
      <c r="K234" s="22">
        <v>0.13500000000000001</v>
      </c>
      <c r="L234" s="22">
        <v>34</v>
      </c>
      <c r="M234" s="22" t="s">
        <v>253</v>
      </c>
      <c r="N234" s="22">
        <v>3.5</v>
      </c>
      <c r="O234" s="22" t="s">
        <v>253</v>
      </c>
      <c r="P234" s="21" t="s">
        <v>1727</v>
      </c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</row>
    <row r="235" spans="1:124" s="146" customFormat="1">
      <c r="A235" s="19"/>
      <c r="B235" s="20"/>
      <c r="C235" s="20"/>
      <c r="D235" s="21"/>
      <c r="E235" s="22"/>
      <c r="F235" s="22"/>
      <c r="G235" s="22"/>
      <c r="H235" s="19"/>
      <c r="I235" s="19" t="s">
        <v>1729</v>
      </c>
      <c r="J235" s="22">
        <v>0.82199999999999995</v>
      </c>
      <c r="K235" s="22">
        <v>6.8000000000000005E-2</v>
      </c>
      <c r="L235" s="22">
        <v>8</v>
      </c>
      <c r="M235" s="22" t="s">
        <v>253</v>
      </c>
      <c r="N235" s="22">
        <f>J235*(L235/100)</f>
        <v>6.5759999999999999E-2</v>
      </c>
      <c r="O235" s="22" t="s">
        <v>253</v>
      </c>
      <c r="P235" s="21" t="s">
        <v>1727</v>
      </c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</row>
    <row r="236" spans="1:124" s="146" customFormat="1">
      <c r="A236" s="19"/>
      <c r="B236" s="20"/>
      <c r="C236" s="20"/>
      <c r="D236" s="21"/>
      <c r="E236" s="22"/>
      <c r="F236" s="22"/>
      <c r="G236" s="22"/>
      <c r="H236" s="19"/>
      <c r="I236" s="19" t="s">
        <v>1637</v>
      </c>
      <c r="J236" s="22">
        <v>1.028</v>
      </c>
      <c r="K236" s="22">
        <v>4.7E-2</v>
      </c>
      <c r="L236" s="22" t="s">
        <v>253</v>
      </c>
      <c r="M236" s="22" t="s">
        <v>253</v>
      </c>
      <c r="N236" s="22" t="s">
        <v>253</v>
      </c>
      <c r="O236" s="22" t="s">
        <v>253</v>
      </c>
      <c r="P236" s="21" t="s">
        <v>1727</v>
      </c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</row>
    <row r="237" spans="1:124" s="146" customFormat="1">
      <c r="A237" s="19"/>
      <c r="B237" s="20"/>
      <c r="C237" s="20"/>
      <c r="D237" s="21"/>
      <c r="E237" s="22"/>
      <c r="F237" s="22"/>
      <c r="G237" s="22"/>
      <c r="H237" s="19"/>
      <c r="I237" s="19" t="s">
        <v>1638</v>
      </c>
      <c r="J237" s="22">
        <v>1.913</v>
      </c>
      <c r="K237" s="22">
        <v>0.216</v>
      </c>
      <c r="L237" s="22">
        <v>29</v>
      </c>
      <c r="M237" s="22" t="s">
        <v>986</v>
      </c>
      <c r="N237" s="22">
        <f>J237*(L237/100)</f>
        <v>0.55476999999999999</v>
      </c>
      <c r="O237" s="22" t="s">
        <v>986</v>
      </c>
      <c r="P237" s="21" t="s">
        <v>1727</v>
      </c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</row>
    <row r="238" spans="1:124" s="146" customFormat="1">
      <c r="A238" s="19"/>
      <c r="B238" s="20"/>
      <c r="C238" s="20"/>
      <c r="D238" s="21"/>
      <c r="E238" s="22"/>
      <c r="F238" s="22"/>
      <c r="G238" s="22"/>
      <c r="H238" s="19"/>
      <c r="I238" s="19" t="s">
        <v>1808</v>
      </c>
      <c r="J238" s="22">
        <v>2.9409999999999998</v>
      </c>
      <c r="K238" s="22">
        <v>0.26300000000000001</v>
      </c>
      <c r="L238" s="22">
        <v>17</v>
      </c>
      <c r="M238" s="22" t="s">
        <v>253</v>
      </c>
      <c r="N238" s="22">
        <v>4.5</v>
      </c>
      <c r="O238" s="22" t="s">
        <v>253</v>
      </c>
      <c r="P238" s="21" t="s">
        <v>1727</v>
      </c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</row>
    <row r="239" spans="1:124" s="146" customFormat="1">
      <c r="A239" s="19"/>
      <c r="B239" s="20"/>
      <c r="C239" s="20"/>
      <c r="D239" s="21"/>
      <c r="E239" s="22"/>
      <c r="F239" s="22"/>
      <c r="G239" s="22"/>
      <c r="H239" s="19"/>
      <c r="I239" s="19" t="s">
        <v>485</v>
      </c>
      <c r="J239" s="22">
        <v>9.1999999999999993</v>
      </c>
      <c r="K239" s="22">
        <v>0.6</v>
      </c>
      <c r="L239" s="22">
        <v>17</v>
      </c>
      <c r="M239" s="22" t="s">
        <v>253</v>
      </c>
      <c r="N239" s="22">
        <f>J239*(L239/100)</f>
        <v>1.5640000000000001</v>
      </c>
      <c r="O239" s="22" t="s">
        <v>253</v>
      </c>
      <c r="P239" s="21" t="s">
        <v>1727</v>
      </c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</row>
    <row r="240" spans="1:124" s="146" customFormat="1">
      <c r="A240" s="19" t="s">
        <v>1690</v>
      </c>
      <c r="B240" s="20" t="s">
        <v>1691</v>
      </c>
      <c r="C240" s="20" t="s">
        <v>1589</v>
      </c>
      <c r="D240" s="21" t="s">
        <v>1596</v>
      </c>
      <c r="E240" s="22">
        <v>1996</v>
      </c>
      <c r="F240" s="22">
        <v>7</v>
      </c>
      <c r="G240" s="22">
        <v>16</v>
      </c>
      <c r="H240" s="19" t="s">
        <v>1550</v>
      </c>
      <c r="I240" s="19" t="s">
        <v>1613</v>
      </c>
      <c r="J240" s="22">
        <v>0.156</v>
      </c>
      <c r="K240" s="22">
        <v>1.0999999999999999E-2</v>
      </c>
      <c r="L240" s="22" t="s">
        <v>253</v>
      </c>
      <c r="M240" s="22" t="s">
        <v>253</v>
      </c>
      <c r="N240" s="22" t="s">
        <v>253</v>
      </c>
      <c r="O240" s="22" t="s">
        <v>253</v>
      </c>
      <c r="P240" s="21" t="s">
        <v>1727</v>
      </c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</row>
    <row r="241" spans="1:124" s="146" customFormat="1">
      <c r="A241" s="19"/>
      <c r="B241" s="20"/>
      <c r="C241" s="20"/>
      <c r="D241" s="21"/>
      <c r="E241" s="22"/>
      <c r="F241" s="22"/>
      <c r="G241" s="22"/>
      <c r="H241" s="19"/>
      <c r="I241" s="19" t="s">
        <v>1728</v>
      </c>
      <c r="J241" s="22">
        <v>0.95499999999999996</v>
      </c>
      <c r="K241" s="22">
        <v>0.05</v>
      </c>
      <c r="L241" s="22">
        <v>56</v>
      </c>
      <c r="M241" s="22" t="s">
        <v>253</v>
      </c>
      <c r="N241" s="22">
        <f>J241*(L241/100)</f>
        <v>0.53480000000000005</v>
      </c>
      <c r="O241" s="22" t="s">
        <v>253</v>
      </c>
      <c r="P241" s="21" t="s">
        <v>1727</v>
      </c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</row>
    <row r="242" spans="1:124" s="146" customFormat="1">
      <c r="A242" s="19"/>
      <c r="B242" s="20"/>
      <c r="C242" s="20"/>
      <c r="D242" s="21"/>
      <c r="E242" s="22"/>
      <c r="F242" s="22"/>
      <c r="G242" s="22"/>
      <c r="H242" s="19"/>
      <c r="I242" s="19" t="s">
        <v>1743</v>
      </c>
      <c r="J242" s="22">
        <v>1.111</v>
      </c>
      <c r="K242" s="22">
        <v>6.0999999999999999E-2</v>
      </c>
      <c r="L242" s="22">
        <v>43</v>
      </c>
      <c r="M242" s="22" t="s">
        <v>253</v>
      </c>
      <c r="N242" s="22">
        <f>J242*(L242/100)</f>
        <v>0.47772999999999999</v>
      </c>
      <c r="O242" s="22" t="s">
        <v>253</v>
      </c>
      <c r="P242" s="21" t="s">
        <v>1727</v>
      </c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</row>
    <row r="243" spans="1:124" s="146" customFormat="1">
      <c r="A243" s="19"/>
      <c r="B243" s="20"/>
      <c r="C243" s="20"/>
      <c r="D243" s="21"/>
      <c r="E243" s="22"/>
      <c r="F243" s="22"/>
      <c r="G243" s="22"/>
      <c r="H243" s="19"/>
      <c r="I243" s="19" t="s">
        <v>544</v>
      </c>
      <c r="J243" s="22">
        <v>2.6419999999999999</v>
      </c>
      <c r="K243" s="22">
        <v>9.0999999999999998E-2</v>
      </c>
      <c r="L243" s="22">
        <v>15</v>
      </c>
      <c r="M243" s="22" t="s">
        <v>253</v>
      </c>
      <c r="N243" s="22">
        <f>J243*(L243/100)</f>
        <v>0.39629999999999999</v>
      </c>
      <c r="O243" s="22" t="s">
        <v>253</v>
      </c>
      <c r="P243" s="21" t="s">
        <v>1727</v>
      </c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</row>
    <row r="244" spans="1:124" s="146" customFormat="1">
      <c r="A244" s="19"/>
      <c r="B244" s="20"/>
      <c r="C244" s="20"/>
      <c r="D244" s="21"/>
      <c r="E244" s="22"/>
      <c r="F244" s="22"/>
      <c r="G244" s="22"/>
      <c r="H244" s="19"/>
      <c r="I244" s="19" t="s">
        <v>1635</v>
      </c>
      <c r="J244" s="22">
        <v>1.48</v>
      </c>
      <c r="K244" s="22">
        <v>0.192</v>
      </c>
      <c r="L244" s="22">
        <v>70</v>
      </c>
      <c r="M244" s="22" t="s">
        <v>253</v>
      </c>
      <c r="N244" s="22">
        <f>J244*(L244/100)</f>
        <v>1.036</v>
      </c>
      <c r="O244" s="22" t="s">
        <v>253</v>
      </c>
      <c r="P244" s="21" t="s">
        <v>1727</v>
      </c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</row>
    <row r="245" spans="1:124" s="146" customFormat="1">
      <c r="A245" s="19"/>
      <c r="B245" s="20"/>
      <c r="C245" s="20"/>
      <c r="D245" s="21"/>
      <c r="E245" s="22"/>
      <c r="F245" s="22"/>
      <c r="G245" s="22"/>
      <c r="H245" s="19"/>
      <c r="I245" s="19" t="s">
        <v>1810</v>
      </c>
      <c r="J245" s="22">
        <v>0.95499999999999996</v>
      </c>
      <c r="K245" s="22">
        <v>0.05</v>
      </c>
      <c r="L245" s="22">
        <v>56</v>
      </c>
      <c r="M245" s="22" t="s">
        <v>986</v>
      </c>
      <c r="N245" s="22">
        <f>J245*(L245/100)</f>
        <v>0.53480000000000005</v>
      </c>
      <c r="O245" s="22" t="s">
        <v>986</v>
      </c>
      <c r="P245" s="21" t="s">
        <v>1727</v>
      </c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</row>
    <row r="246" spans="1:124" s="146" customFormat="1">
      <c r="A246" s="19"/>
      <c r="B246" s="20"/>
      <c r="C246" s="20"/>
      <c r="D246" s="21"/>
      <c r="E246" s="22"/>
      <c r="F246" s="22"/>
      <c r="G246" s="22"/>
      <c r="H246" s="19"/>
      <c r="I246" s="19" t="s">
        <v>1637</v>
      </c>
      <c r="J246" s="22">
        <v>1.024</v>
      </c>
      <c r="K246" s="22">
        <v>6.4000000000000001E-2</v>
      </c>
      <c r="L246" s="22" t="s">
        <v>253</v>
      </c>
      <c r="M246" s="22" t="s">
        <v>253</v>
      </c>
      <c r="N246" s="22" t="s">
        <v>253</v>
      </c>
      <c r="O246" s="22" t="s">
        <v>253</v>
      </c>
      <c r="P246" s="21" t="s">
        <v>1727</v>
      </c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</row>
    <row r="247" spans="1:124" s="146" customFormat="1">
      <c r="A247" s="19"/>
      <c r="B247" s="20"/>
      <c r="C247" s="20"/>
      <c r="D247" s="21"/>
      <c r="E247" s="22"/>
      <c r="F247" s="22"/>
      <c r="G247" s="22"/>
      <c r="H247" s="19"/>
      <c r="I247" s="19" t="s">
        <v>1638</v>
      </c>
      <c r="J247" s="22">
        <v>1.7769999999999999</v>
      </c>
      <c r="K247" s="22">
        <v>0.104</v>
      </c>
      <c r="L247" s="22">
        <v>21</v>
      </c>
      <c r="M247" s="22" t="s">
        <v>1543</v>
      </c>
      <c r="N247" s="22">
        <f t="shared" ref="N247:N256" si="22">J247*(L247/100)</f>
        <v>0.37316999999999995</v>
      </c>
      <c r="O247" s="22" t="s">
        <v>1543</v>
      </c>
      <c r="P247" s="21" t="s">
        <v>1727</v>
      </c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</row>
    <row r="248" spans="1:124" s="146" customFormat="1">
      <c r="A248" s="19"/>
      <c r="B248" s="20"/>
      <c r="C248" s="20"/>
      <c r="D248" s="21"/>
      <c r="E248" s="22"/>
      <c r="F248" s="22"/>
      <c r="G248" s="22"/>
      <c r="H248" s="19"/>
      <c r="I248" s="19" t="s">
        <v>1808</v>
      </c>
      <c r="J248" s="22">
        <v>2.8010000000000002</v>
      </c>
      <c r="K248" s="22">
        <v>0.16800000000000001</v>
      </c>
      <c r="L248" s="22">
        <v>2</v>
      </c>
      <c r="M248" s="22" t="s">
        <v>253</v>
      </c>
      <c r="N248" s="22">
        <f t="shared" si="22"/>
        <v>5.6020000000000007E-2</v>
      </c>
      <c r="O248" s="22" t="s">
        <v>253</v>
      </c>
      <c r="P248" s="21" t="s">
        <v>1727</v>
      </c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</row>
    <row r="249" spans="1:124" s="146" customFormat="1">
      <c r="A249" s="19"/>
      <c r="B249" s="20"/>
      <c r="C249" s="20"/>
      <c r="D249" s="21"/>
      <c r="E249" s="22"/>
      <c r="F249" s="22"/>
      <c r="G249" s="22"/>
      <c r="H249" s="19"/>
      <c r="I249" s="19" t="s">
        <v>485</v>
      </c>
      <c r="J249" s="22">
        <v>8.9890000000000008</v>
      </c>
      <c r="K249" s="22">
        <v>0.56200000000000006</v>
      </c>
      <c r="L249" s="22">
        <v>28</v>
      </c>
      <c r="M249" s="22" t="s">
        <v>253</v>
      </c>
      <c r="N249" s="22">
        <f t="shared" si="22"/>
        <v>2.5169200000000003</v>
      </c>
      <c r="O249" s="22" t="s">
        <v>986</v>
      </c>
      <c r="P249" s="21" t="s">
        <v>1727</v>
      </c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</row>
    <row r="250" spans="1:124" s="146" customFormat="1">
      <c r="A250" s="19" t="s">
        <v>1690</v>
      </c>
      <c r="B250" s="20" t="s">
        <v>1691</v>
      </c>
      <c r="C250" s="20" t="s">
        <v>1589</v>
      </c>
      <c r="D250" s="21" t="s">
        <v>1596</v>
      </c>
      <c r="E250" s="22">
        <v>1996</v>
      </c>
      <c r="F250" s="22">
        <v>7</v>
      </c>
      <c r="G250" s="22">
        <v>24</v>
      </c>
      <c r="H250" s="19" t="s">
        <v>1550</v>
      </c>
      <c r="I250" s="19" t="s">
        <v>1613</v>
      </c>
      <c r="J250" s="22">
        <v>0.52600000000000002</v>
      </c>
      <c r="K250" s="22">
        <v>0.14899999999999999</v>
      </c>
      <c r="L250" s="22">
        <v>88</v>
      </c>
      <c r="M250" s="22" t="s">
        <v>253</v>
      </c>
      <c r="N250" s="22">
        <f t="shared" si="22"/>
        <v>0.46288000000000001</v>
      </c>
      <c r="O250" s="22" t="s">
        <v>253</v>
      </c>
      <c r="P250" s="21" t="s">
        <v>1727</v>
      </c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</row>
    <row r="251" spans="1:124" s="146" customFormat="1">
      <c r="A251" s="19"/>
      <c r="B251" s="20"/>
      <c r="C251" s="20"/>
      <c r="D251" s="21"/>
      <c r="E251" s="22"/>
      <c r="F251" s="22"/>
      <c r="G251" s="22"/>
      <c r="H251" s="19"/>
      <c r="I251" s="19" t="s">
        <v>1728</v>
      </c>
      <c r="J251" s="22">
        <v>1.165</v>
      </c>
      <c r="K251" s="22">
        <v>6.0999999999999999E-2</v>
      </c>
      <c r="L251" s="22">
        <v>98</v>
      </c>
      <c r="M251" s="22" t="s">
        <v>253</v>
      </c>
      <c r="N251" s="22">
        <f t="shared" si="22"/>
        <v>1.1416999999999999</v>
      </c>
      <c r="O251" s="22" t="s">
        <v>253</v>
      </c>
      <c r="P251" s="21" t="s">
        <v>1727</v>
      </c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</row>
    <row r="252" spans="1:124" s="146" customFormat="1">
      <c r="A252" s="19"/>
      <c r="B252" s="20"/>
      <c r="C252" s="20"/>
      <c r="D252" s="21"/>
      <c r="E252" s="22"/>
      <c r="F252" s="22"/>
      <c r="G252" s="22"/>
      <c r="H252" s="19"/>
      <c r="I252" s="19" t="s">
        <v>1811</v>
      </c>
      <c r="J252" s="22">
        <v>1.6910000000000001</v>
      </c>
      <c r="K252" s="22">
        <v>0.21</v>
      </c>
      <c r="L252" s="22">
        <v>95</v>
      </c>
      <c r="M252" s="22" t="s">
        <v>253</v>
      </c>
      <c r="N252" s="22">
        <f t="shared" si="22"/>
        <v>1.6064499999999999</v>
      </c>
      <c r="O252" s="22" t="s">
        <v>253</v>
      </c>
      <c r="P252" s="21" t="s">
        <v>1727</v>
      </c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</row>
    <row r="253" spans="1:124" s="146" customFormat="1">
      <c r="A253" s="19"/>
      <c r="B253" s="20"/>
      <c r="C253" s="20"/>
      <c r="D253" s="21"/>
      <c r="E253" s="22"/>
      <c r="F253" s="22"/>
      <c r="G253" s="22"/>
      <c r="H253" s="19"/>
      <c r="I253" s="19" t="s">
        <v>544</v>
      </c>
      <c r="J253" s="22">
        <v>5.3419999999999996</v>
      </c>
      <c r="K253" s="22">
        <v>0.14599999999999999</v>
      </c>
      <c r="L253" s="22">
        <v>15</v>
      </c>
      <c r="M253" s="22" t="s">
        <v>253</v>
      </c>
      <c r="N253" s="22">
        <f t="shared" si="22"/>
        <v>0.8012999999999999</v>
      </c>
      <c r="O253" s="22" t="s">
        <v>253</v>
      </c>
      <c r="P253" s="21" t="s">
        <v>1727</v>
      </c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</row>
    <row r="254" spans="1:124" s="146" customFormat="1">
      <c r="A254" s="19"/>
      <c r="B254" s="20"/>
      <c r="C254" s="20"/>
      <c r="D254" s="21"/>
      <c r="E254" s="22"/>
      <c r="F254" s="22"/>
      <c r="G254" s="22"/>
      <c r="H254" s="19"/>
      <c r="I254" s="19" t="s">
        <v>1635</v>
      </c>
      <c r="J254" s="22">
        <v>0.751</v>
      </c>
      <c r="K254" s="22">
        <v>0.159</v>
      </c>
      <c r="L254" s="22">
        <v>53</v>
      </c>
      <c r="M254" s="22" t="s">
        <v>986</v>
      </c>
      <c r="N254" s="22">
        <f t="shared" si="22"/>
        <v>0.39802999999999999</v>
      </c>
      <c r="O254" s="22" t="s">
        <v>986</v>
      </c>
      <c r="P254" s="21" t="s">
        <v>1727</v>
      </c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</row>
    <row r="255" spans="1:124" s="146" customFormat="1">
      <c r="A255" s="19"/>
      <c r="B255" s="20"/>
      <c r="C255" s="20"/>
      <c r="D255" s="21"/>
      <c r="E255" s="22"/>
      <c r="F255" s="22"/>
      <c r="G255" s="22"/>
      <c r="H255" s="19"/>
      <c r="I255" s="19" t="s">
        <v>1729</v>
      </c>
      <c r="J255" s="22">
        <v>1.31</v>
      </c>
      <c r="K255" s="22">
        <v>0.114</v>
      </c>
      <c r="L255" s="22">
        <v>58</v>
      </c>
      <c r="M255" s="22" t="s">
        <v>986</v>
      </c>
      <c r="N255" s="22">
        <f t="shared" si="22"/>
        <v>0.75980000000000003</v>
      </c>
      <c r="O255" s="22" t="s">
        <v>986</v>
      </c>
      <c r="P255" s="21" t="s">
        <v>1727</v>
      </c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  <c r="CS255" s="58"/>
      <c r="CT255" s="58"/>
      <c r="CU255" s="58"/>
      <c r="CV255" s="58"/>
      <c r="CW255" s="58"/>
      <c r="CX255" s="58"/>
      <c r="CY255" s="58"/>
      <c r="CZ255" s="58"/>
      <c r="DA255" s="58"/>
      <c r="DB255" s="58"/>
      <c r="DC255" s="58"/>
      <c r="DD255" s="58"/>
      <c r="DE255" s="58"/>
      <c r="DF255" s="58"/>
      <c r="DG255" s="58"/>
      <c r="DH255" s="58"/>
      <c r="DI255" s="58"/>
      <c r="DJ255" s="58"/>
      <c r="DK255" s="58"/>
      <c r="DL255" s="58"/>
      <c r="DM255" s="58"/>
      <c r="DN255" s="58"/>
      <c r="DO255" s="58"/>
      <c r="DP255" s="58"/>
      <c r="DQ255" s="58"/>
      <c r="DR255" s="58"/>
      <c r="DS255" s="58"/>
      <c r="DT255" s="58"/>
    </row>
    <row r="256" spans="1:124" s="146" customFormat="1">
      <c r="A256" s="19"/>
      <c r="B256" s="20"/>
      <c r="C256" s="20"/>
      <c r="D256" s="21"/>
      <c r="E256" s="22"/>
      <c r="F256" s="22"/>
      <c r="G256" s="22"/>
      <c r="H256" s="19"/>
      <c r="I256" s="19" t="s">
        <v>1637</v>
      </c>
      <c r="J256" s="22">
        <v>1.4790000000000001</v>
      </c>
      <c r="K256" s="22">
        <v>8.8999999999999996E-2</v>
      </c>
      <c r="L256" s="22">
        <v>21</v>
      </c>
      <c r="M256" s="22" t="s">
        <v>986</v>
      </c>
      <c r="N256" s="22">
        <f t="shared" si="22"/>
        <v>0.31059000000000003</v>
      </c>
      <c r="O256" s="22" t="s">
        <v>986</v>
      </c>
      <c r="P256" s="21" t="s">
        <v>1727</v>
      </c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</row>
    <row r="257" spans="1:124" s="146" customFormat="1">
      <c r="A257" s="19"/>
      <c r="B257" s="20"/>
      <c r="C257" s="20"/>
      <c r="D257" s="21"/>
      <c r="E257" s="22"/>
      <c r="F257" s="22"/>
      <c r="G257" s="22"/>
      <c r="H257" s="19"/>
      <c r="I257" s="19" t="s">
        <v>1638</v>
      </c>
      <c r="J257" s="22">
        <v>2.66</v>
      </c>
      <c r="K257" s="22">
        <v>0.30299999999999999</v>
      </c>
      <c r="L257" s="22" t="s">
        <v>986</v>
      </c>
      <c r="M257" s="22" t="s">
        <v>986</v>
      </c>
      <c r="N257" s="22" t="s">
        <v>986</v>
      </c>
      <c r="O257" s="22" t="s">
        <v>986</v>
      </c>
      <c r="P257" s="21" t="s">
        <v>1727</v>
      </c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</row>
    <row r="258" spans="1:124" s="146" customFormat="1">
      <c r="A258" s="19"/>
      <c r="B258" s="20"/>
      <c r="C258" s="20"/>
      <c r="D258" s="21"/>
      <c r="E258" s="22"/>
      <c r="F258" s="22"/>
      <c r="G258" s="22"/>
      <c r="H258" s="19"/>
      <c r="I258" s="19" t="s">
        <v>1808</v>
      </c>
      <c r="J258" s="22">
        <v>4.1390000000000002</v>
      </c>
      <c r="K258" s="22">
        <v>0.39200000000000002</v>
      </c>
      <c r="L258" s="22" t="s">
        <v>253</v>
      </c>
      <c r="M258" s="22" t="s">
        <v>253</v>
      </c>
      <c r="N258" s="22" t="s">
        <v>253</v>
      </c>
      <c r="O258" s="22" t="s">
        <v>253</v>
      </c>
      <c r="P258" s="21" t="s">
        <v>1727</v>
      </c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  <c r="DT258" s="58"/>
    </row>
    <row r="259" spans="1:124" s="146" customFormat="1">
      <c r="A259" s="19"/>
      <c r="B259" s="20"/>
      <c r="C259" s="20"/>
      <c r="D259" s="21"/>
      <c r="E259" s="22"/>
      <c r="F259" s="22"/>
      <c r="G259" s="22"/>
      <c r="H259" s="19"/>
      <c r="I259" s="19" t="s">
        <v>485</v>
      </c>
      <c r="J259" s="22">
        <v>13.233000000000001</v>
      </c>
      <c r="K259" s="22">
        <v>1.0209999999999999</v>
      </c>
      <c r="L259" s="22">
        <v>21</v>
      </c>
      <c r="M259" s="22" t="s">
        <v>253</v>
      </c>
      <c r="N259" s="22">
        <f>J259*(L259/100)</f>
        <v>2.7789299999999999</v>
      </c>
      <c r="O259" s="22" t="s">
        <v>253</v>
      </c>
      <c r="P259" s="21" t="s">
        <v>1727</v>
      </c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  <c r="DR259" s="58"/>
      <c r="DS259" s="58"/>
      <c r="DT259" s="58"/>
    </row>
    <row r="260" spans="1:124" s="146" customFormat="1">
      <c r="A260" s="19" t="s">
        <v>1690</v>
      </c>
      <c r="B260" s="20" t="s">
        <v>1691</v>
      </c>
      <c r="C260" s="20" t="s">
        <v>1589</v>
      </c>
      <c r="D260" s="21" t="s">
        <v>1596</v>
      </c>
      <c r="E260" s="22">
        <v>1996</v>
      </c>
      <c r="F260" s="22">
        <v>7</v>
      </c>
      <c r="G260" s="22">
        <v>16</v>
      </c>
      <c r="H260" s="19" t="s">
        <v>1550</v>
      </c>
      <c r="I260" s="19" t="s">
        <v>1613</v>
      </c>
      <c r="J260" s="22">
        <v>0.13</v>
      </c>
      <c r="K260" s="22">
        <v>3.3000000000000002E-2</v>
      </c>
      <c r="L260" s="22">
        <v>52</v>
      </c>
      <c r="M260" s="22" t="s">
        <v>253</v>
      </c>
      <c r="N260" s="22">
        <f>J260*(L260/100)</f>
        <v>6.7600000000000007E-2</v>
      </c>
      <c r="O260" s="22" t="s">
        <v>253</v>
      </c>
      <c r="P260" s="21" t="s">
        <v>1727</v>
      </c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</row>
    <row r="261" spans="1:124" s="146" customFormat="1">
      <c r="A261" s="19"/>
      <c r="B261" s="20"/>
      <c r="C261" s="20"/>
      <c r="D261" s="21"/>
      <c r="E261" s="22"/>
      <c r="F261" s="22"/>
      <c r="G261" s="22"/>
      <c r="H261" s="19"/>
      <c r="I261" s="19" t="s">
        <v>1728</v>
      </c>
      <c r="J261" s="22">
        <v>0.69199999999999995</v>
      </c>
      <c r="K261" s="22">
        <v>7.0000000000000001E-3</v>
      </c>
      <c r="L261" s="22">
        <v>50</v>
      </c>
      <c r="M261" s="22" t="s">
        <v>253</v>
      </c>
      <c r="N261" s="22">
        <f>J261*(L261/100)</f>
        <v>0.34599999999999997</v>
      </c>
      <c r="O261" s="22" t="s">
        <v>253</v>
      </c>
      <c r="P261" s="21" t="s">
        <v>1727</v>
      </c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</row>
    <row r="262" spans="1:124" s="146" customFormat="1">
      <c r="A262" s="19"/>
      <c r="B262" s="20"/>
      <c r="C262" s="20"/>
      <c r="D262" s="21"/>
      <c r="E262" s="22"/>
      <c r="F262" s="22"/>
      <c r="G262" s="22"/>
      <c r="H262" s="19"/>
      <c r="I262" s="19" t="s">
        <v>1743</v>
      </c>
      <c r="J262" s="22">
        <v>0.82199999999999995</v>
      </c>
      <c r="K262" s="22">
        <v>0.04</v>
      </c>
      <c r="L262" s="22">
        <v>50</v>
      </c>
      <c r="M262" s="22" t="s">
        <v>253</v>
      </c>
      <c r="N262" s="22">
        <f>J262*(L262/100)</f>
        <v>0.41099999999999998</v>
      </c>
      <c r="O262" s="22" t="s">
        <v>253</v>
      </c>
      <c r="P262" s="21" t="s">
        <v>1727</v>
      </c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</row>
    <row r="263" spans="1:124" s="146" customFormat="1">
      <c r="A263" s="19"/>
      <c r="B263" s="20"/>
      <c r="C263" s="20"/>
      <c r="D263" s="21"/>
      <c r="E263" s="22"/>
      <c r="F263" s="22"/>
      <c r="G263" s="22"/>
      <c r="H263" s="19"/>
      <c r="I263" s="19" t="s">
        <v>762</v>
      </c>
      <c r="J263" s="22">
        <v>4.0999999999999996</v>
      </c>
      <c r="K263" s="22">
        <v>0.22900000000000001</v>
      </c>
      <c r="L263" s="22">
        <v>52</v>
      </c>
      <c r="M263" s="22" t="s">
        <v>1812</v>
      </c>
      <c r="N263" s="22">
        <f>J263*(L263/100)</f>
        <v>2.1319999999999997</v>
      </c>
      <c r="O263" s="22" t="s">
        <v>253</v>
      </c>
      <c r="P263" s="21" t="s">
        <v>1727</v>
      </c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</row>
    <row r="264" spans="1:124" s="146" customFormat="1">
      <c r="A264" s="19"/>
      <c r="B264" s="20"/>
      <c r="C264" s="20"/>
      <c r="D264" s="21"/>
      <c r="E264" s="22"/>
      <c r="F264" s="22"/>
      <c r="G264" s="22"/>
      <c r="H264" s="19"/>
      <c r="I264" s="19" t="s">
        <v>1813</v>
      </c>
      <c r="J264" s="22">
        <v>0.39300000000000002</v>
      </c>
      <c r="K264" s="22">
        <v>4.7E-2</v>
      </c>
      <c r="L264" s="22" t="s">
        <v>253</v>
      </c>
      <c r="M264" s="22" t="s">
        <v>1814</v>
      </c>
      <c r="N264" s="22" t="s">
        <v>986</v>
      </c>
      <c r="O264" s="22" t="s">
        <v>986</v>
      </c>
      <c r="P264" s="21" t="s">
        <v>1727</v>
      </c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  <c r="DR264" s="58"/>
      <c r="DS264" s="58"/>
      <c r="DT264" s="58"/>
    </row>
    <row r="265" spans="1:124" s="146" customFormat="1">
      <c r="A265" s="19"/>
      <c r="B265" s="20"/>
      <c r="C265" s="20"/>
      <c r="D265" s="21"/>
      <c r="E265" s="22"/>
      <c r="F265" s="22"/>
      <c r="G265" s="22"/>
      <c r="H265" s="19"/>
      <c r="I265" s="19" t="s">
        <v>1729</v>
      </c>
      <c r="J265" s="22">
        <v>1.413</v>
      </c>
      <c r="K265" s="22">
        <v>9.5000000000000001E-2</v>
      </c>
      <c r="L265" s="22">
        <v>56</v>
      </c>
      <c r="M265" s="22" t="s">
        <v>253</v>
      </c>
      <c r="N265" s="22">
        <f>J265*(L265/100)</f>
        <v>0.79128000000000009</v>
      </c>
      <c r="O265" s="22" t="s">
        <v>253</v>
      </c>
      <c r="P265" s="21" t="s">
        <v>1727</v>
      </c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</row>
    <row r="266" spans="1:124" s="146" customFormat="1">
      <c r="A266" s="19"/>
      <c r="B266" s="20"/>
      <c r="C266" s="20"/>
      <c r="D266" s="21"/>
      <c r="E266" s="22"/>
      <c r="F266" s="22"/>
      <c r="G266" s="22"/>
      <c r="H266" s="19"/>
      <c r="I266" s="19" t="s">
        <v>1815</v>
      </c>
      <c r="J266" s="22">
        <v>1.1830000000000001</v>
      </c>
      <c r="K266" s="22">
        <v>0.122</v>
      </c>
      <c r="L266" s="22">
        <v>8</v>
      </c>
      <c r="M266" s="22" t="s">
        <v>253</v>
      </c>
      <c r="N266" s="22">
        <f>J266*(L266/100)</f>
        <v>9.4640000000000002E-2</v>
      </c>
      <c r="O266" s="22" t="s">
        <v>253</v>
      </c>
      <c r="P266" s="21" t="s">
        <v>1727</v>
      </c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</row>
    <row r="267" spans="1:124" s="146" customFormat="1">
      <c r="A267" s="19"/>
      <c r="B267" s="20"/>
      <c r="C267" s="20"/>
      <c r="D267" s="21"/>
      <c r="E267" s="22"/>
      <c r="F267" s="22"/>
      <c r="G267" s="22"/>
      <c r="H267" s="19"/>
      <c r="I267" s="19" t="s">
        <v>1616</v>
      </c>
      <c r="J267" s="22">
        <v>3.3130000000000002</v>
      </c>
      <c r="K267" s="22">
        <v>0.25700000000000001</v>
      </c>
      <c r="L267" s="22">
        <v>60</v>
      </c>
      <c r="M267" s="22" t="s">
        <v>253</v>
      </c>
      <c r="N267" s="22">
        <f>J267*(L267/100)</f>
        <v>1.9878</v>
      </c>
      <c r="O267" s="22" t="s">
        <v>253</v>
      </c>
      <c r="P267" s="21" t="s">
        <v>1727</v>
      </c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</row>
    <row r="268" spans="1:124" s="146" customFormat="1">
      <c r="A268" s="19"/>
      <c r="B268" s="20"/>
      <c r="C268" s="20"/>
      <c r="D268" s="21"/>
      <c r="E268" s="22"/>
      <c r="F268" s="22"/>
      <c r="G268" s="22"/>
      <c r="H268" s="19"/>
      <c r="I268" s="19" t="s">
        <v>1617</v>
      </c>
      <c r="J268" s="22">
        <v>4.4960000000000004</v>
      </c>
      <c r="K268" s="22">
        <v>0.379</v>
      </c>
      <c r="L268" s="22">
        <v>46</v>
      </c>
      <c r="M268" s="22" t="s">
        <v>253</v>
      </c>
      <c r="N268" s="22">
        <f>J268*(L268/100)</f>
        <v>2.0681600000000002</v>
      </c>
      <c r="O268" s="22" t="s">
        <v>253</v>
      </c>
      <c r="P268" s="21" t="s">
        <v>1727</v>
      </c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  <c r="DR268" s="58"/>
      <c r="DS268" s="58"/>
      <c r="DT268" s="58"/>
    </row>
    <row r="269" spans="1:124" s="146" customFormat="1" ht="14" thickBot="1">
      <c r="A269" s="19"/>
      <c r="B269" s="20"/>
      <c r="C269" s="20"/>
      <c r="D269" s="21"/>
      <c r="E269" s="22"/>
      <c r="F269" s="22"/>
      <c r="G269" s="22"/>
      <c r="H269" s="19"/>
      <c r="I269" s="38" t="s">
        <v>556</v>
      </c>
      <c r="J269" s="45">
        <v>11.2</v>
      </c>
      <c r="K269" s="45">
        <v>0.79</v>
      </c>
      <c r="L269" s="45">
        <v>47</v>
      </c>
      <c r="M269" s="45" t="s">
        <v>253</v>
      </c>
      <c r="N269" s="45">
        <f>J269*(L269/100)</f>
        <v>5.2639999999999993</v>
      </c>
      <c r="O269" s="45" t="s">
        <v>986</v>
      </c>
      <c r="P269" s="21" t="s">
        <v>1727</v>
      </c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58"/>
      <c r="DT269" s="58"/>
    </row>
    <row r="270" spans="1:124" s="146" customFormat="1" ht="15">
      <c r="A270" s="3"/>
      <c r="B270" s="147"/>
      <c r="C270" s="147"/>
      <c r="D270" s="1"/>
      <c r="E270" s="74"/>
      <c r="F270" s="74"/>
      <c r="G270" s="74"/>
      <c r="H270" s="3"/>
      <c r="I270" s="47" t="s">
        <v>1618</v>
      </c>
      <c r="J270" s="51">
        <f t="shared" ref="J270:J279" si="23">ROUND(AVERAGE(J189,J192,J195,J198,J201,J204,J207,J210,J220,J230,J240,J260),1)</f>
        <v>0.6</v>
      </c>
      <c r="K270" s="51">
        <f t="shared" ref="K270:K279" si="24">ROUND(STDEV(J189,J192,J195,J198,J201,J204,J207,J210,J220,J230,J240,J250,J260),1)</f>
        <v>0.4</v>
      </c>
      <c r="L270" s="51">
        <f t="shared" ref="L270:L279" si="25">ROUND(AVERAGE(L189,L192,L195,L198,L201,L204,L207,L210,L220,L230,L240,L260),1)</f>
        <v>53.2</v>
      </c>
      <c r="M270" s="51">
        <f t="shared" ref="M270:M279" si="26">ROUND(STDEV(L189,L192,L195,L198,L201,L204,L207,L210,L220,L230,L240,L250,L260),1)</f>
        <v>22.6</v>
      </c>
      <c r="N270" s="51">
        <f t="shared" ref="N270:N279" si="27">ROUND(AVERAGE(N189,N192,N195,N198,N201,N204,N207,N210,N220,N230,N240,N260),1)</f>
        <v>0.3</v>
      </c>
      <c r="O270" s="52">
        <f t="shared" ref="O270:O279" si="28">ROUND(STDEV(N189,N192,N195,N198,N201,N204,N207,N210,N220,N230,N240,N250,N260),1)</f>
        <v>0.2</v>
      </c>
      <c r="P270" s="1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  <c r="DR270" s="58"/>
      <c r="DS270" s="58"/>
      <c r="DT270" s="58"/>
    </row>
    <row r="271" spans="1:124" s="146" customFormat="1" ht="15">
      <c r="A271" s="3"/>
      <c r="B271" s="147"/>
      <c r="C271" s="147"/>
      <c r="D271" s="1"/>
      <c r="E271" s="74"/>
      <c r="F271" s="74"/>
      <c r="G271" s="74"/>
      <c r="H271" s="3"/>
      <c r="I271" s="48" t="s">
        <v>1619</v>
      </c>
      <c r="J271" s="53">
        <f t="shared" si="23"/>
        <v>1.5</v>
      </c>
      <c r="K271" s="53">
        <f t="shared" si="24"/>
        <v>0.6</v>
      </c>
      <c r="L271" s="53">
        <f t="shared" si="25"/>
        <v>72.099999999999994</v>
      </c>
      <c r="M271" s="53">
        <f t="shared" si="26"/>
        <v>27.2</v>
      </c>
      <c r="N271" s="53">
        <f t="shared" si="27"/>
        <v>1.3</v>
      </c>
      <c r="O271" s="54">
        <f t="shared" si="28"/>
        <v>0.8</v>
      </c>
      <c r="P271" s="1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</row>
    <row r="272" spans="1:124" s="146" customFormat="1" ht="15">
      <c r="A272" s="3"/>
      <c r="B272" s="147"/>
      <c r="C272" s="147"/>
      <c r="D272" s="1"/>
      <c r="E272" s="74"/>
      <c r="F272" s="74"/>
      <c r="G272" s="74"/>
      <c r="H272" s="3"/>
      <c r="I272" s="48" t="s">
        <v>1620</v>
      </c>
      <c r="J272" s="53">
        <f t="shared" si="23"/>
        <v>2.1</v>
      </c>
      <c r="K272" s="53">
        <f t="shared" si="24"/>
        <v>0.9</v>
      </c>
      <c r="L272" s="53">
        <f t="shared" si="25"/>
        <v>54</v>
      </c>
      <c r="M272" s="53">
        <f t="shared" si="26"/>
        <v>32</v>
      </c>
      <c r="N272" s="53">
        <f t="shared" si="27"/>
        <v>1.3</v>
      </c>
      <c r="O272" s="54">
        <f t="shared" si="28"/>
        <v>1</v>
      </c>
      <c r="P272" s="1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</row>
    <row r="273" spans="1:124" s="146" customFormat="1" ht="15">
      <c r="A273" s="3"/>
      <c r="B273" s="147"/>
      <c r="C273" s="147"/>
      <c r="D273" s="1"/>
      <c r="E273" s="74"/>
      <c r="F273" s="74"/>
      <c r="G273" s="74"/>
      <c r="H273" s="3"/>
      <c r="I273" s="48" t="s">
        <v>1621</v>
      </c>
      <c r="J273" s="53">
        <f t="shared" si="23"/>
        <v>1.8</v>
      </c>
      <c r="K273" s="53">
        <f t="shared" si="24"/>
        <v>1.7</v>
      </c>
      <c r="L273" s="53">
        <f t="shared" si="25"/>
        <v>38.9</v>
      </c>
      <c r="M273" s="53">
        <f t="shared" si="26"/>
        <v>25</v>
      </c>
      <c r="N273" s="53">
        <f t="shared" si="27"/>
        <v>0.5</v>
      </c>
      <c r="O273" s="54">
        <f t="shared" si="28"/>
        <v>0.5</v>
      </c>
      <c r="P273" s="1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  <c r="DR273" s="58"/>
      <c r="DS273" s="58"/>
      <c r="DT273" s="58"/>
    </row>
    <row r="274" spans="1:124" s="146" customFormat="1" ht="15">
      <c r="A274" s="3"/>
      <c r="B274" s="147"/>
      <c r="C274" s="147"/>
      <c r="D274" s="1"/>
      <c r="E274" s="74"/>
      <c r="F274" s="74"/>
      <c r="G274" s="74"/>
      <c r="H274" s="3"/>
      <c r="I274" s="48" t="s">
        <v>762</v>
      </c>
      <c r="J274" s="53">
        <f t="shared" si="23"/>
        <v>1.4</v>
      </c>
      <c r="K274" s="53">
        <f t="shared" si="24"/>
        <v>0.7</v>
      </c>
      <c r="L274" s="53">
        <f t="shared" si="25"/>
        <v>67.599999999999994</v>
      </c>
      <c r="M274" s="53">
        <f t="shared" si="26"/>
        <v>32.1</v>
      </c>
      <c r="N274" s="53">
        <f t="shared" si="27"/>
        <v>1.5</v>
      </c>
      <c r="O274" s="54">
        <f t="shared" si="28"/>
        <v>1.1000000000000001</v>
      </c>
      <c r="P274" s="1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  <c r="DR274" s="58"/>
      <c r="DS274" s="58"/>
      <c r="DT274" s="58"/>
    </row>
    <row r="275" spans="1:124" s="146" customFormat="1" ht="15">
      <c r="A275" s="3"/>
      <c r="B275" s="147"/>
      <c r="C275" s="147"/>
      <c r="D275" s="1"/>
      <c r="E275" s="74"/>
      <c r="F275" s="74"/>
      <c r="G275" s="74"/>
      <c r="H275" s="3"/>
      <c r="I275" s="48" t="s">
        <v>1813</v>
      </c>
      <c r="J275" s="53">
        <f t="shared" si="23"/>
        <v>1.8</v>
      </c>
      <c r="K275" s="53">
        <f t="shared" si="24"/>
        <v>1</v>
      </c>
      <c r="L275" s="53">
        <f t="shared" si="25"/>
        <v>57.2</v>
      </c>
      <c r="M275" s="53">
        <f t="shared" si="26"/>
        <v>29.5</v>
      </c>
      <c r="N275" s="53">
        <f t="shared" si="27"/>
        <v>1.3</v>
      </c>
      <c r="O275" s="54">
        <f t="shared" si="28"/>
        <v>1</v>
      </c>
      <c r="P275" s="1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8"/>
      <c r="DM275" s="58"/>
      <c r="DN275" s="58"/>
      <c r="DO275" s="58"/>
      <c r="DP275" s="58"/>
      <c r="DQ275" s="58"/>
      <c r="DR275" s="58"/>
      <c r="DS275" s="58"/>
      <c r="DT275" s="58"/>
    </row>
    <row r="276" spans="1:124" s="146" customFormat="1" ht="15">
      <c r="A276" s="3"/>
      <c r="B276" s="147"/>
      <c r="C276" s="147"/>
      <c r="D276" s="1"/>
      <c r="E276" s="74"/>
      <c r="F276" s="74"/>
      <c r="G276" s="74"/>
      <c r="H276" s="3"/>
      <c r="I276" s="48" t="s">
        <v>1622</v>
      </c>
      <c r="J276" s="53">
        <f t="shared" si="23"/>
        <v>1.1000000000000001</v>
      </c>
      <c r="K276" s="53">
        <f t="shared" si="24"/>
        <v>0.8</v>
      </c>
      <c r="L276" s="53">
        <f t="shared" si="25"/>
        <v>38.6</v>
      </c>
      <c r="M276" s="53">
        <f t="shared" si="26"/>
        <v>26.7</v>
      </c>
      <c r="N276" s="53">
        <f t="shared" si="27"/>
        <v>0.3</v>
      </c>
      <c r="O276" s="54">
        <f t="shared" si="28"/>
        <v>0.2</v>
      </c>
      <c r="P276" s="1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</row>
    <row r="277" spans="1:124" s="146" customFormat="1" ht="15">
      <c r="A277" s="3"/>
      <c r="B277" s="147"/>
      <c r="C277" s="147"/>
      <c r="D277" s="1"/>
      <c r="E277" s="74"/>
      <c r="F277" s="74"/>
      <c r="G277" s="74"/>
      <c r="H277" s="3"/>
      <c r="I277" s="48" t="s">
        <v>1815</v>
      </c>
      <c r="J277" s="53">
        <f t="shared" si="23"/>
        <v>2</v>
      </c>
      <c r="K277" s="53">
        <f t="shared" si="24"/>
        <v>0.9</v>
      </c>
      <c r="L277" s="53">
        <f t="shared" si="25"/>
        <v>61.5</v>
      </c>
      <c r="M277" s="53">
        <f t="shared" si="26"/>
        <v>35.4</v>
      </c>
      <c r="N277" s="53">
        <f t="shared" si="27"/>
        <v>1.3</v>
      </c>
      <c r="O277" s="54">
        <f t="shared" si="28"/>
        <v>0.9</v>
      </c>
      <c r="P277" s="1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</row>
    <row r="278" spans="1:124" s="146" customFormat="1" ht="15">
      <c r="A278" s="3"/>
      <c r="B278" s="147"/>
      <c r="C278" s="147"/>
      <c r="D278" s="1"/>
      <c r="E278" s="74"/>
      <c r="F278" s="74"/>
      <c r="G278" s="74"/>
      <c r="H278" s="3"/>
      <c r="I278" s="48" t="s">
        <v>1616</v>
      </c>
      <c r="J278" s="53">
        <f t="shared" si="23"/>
        <v>2.8</v>
      </c>
      <c r="K278" s="53">
        <f t="shared" si="24"/>
        <v>1.3</v>
      </c>
      <c r="L278" s="53">
        <f t="shared" si="25"/>
        <v>49.5</v>
      </c>
      <c r="M278" s="53">
        <f t="shared" si="26"/>
        <v>36.9</v>
      </c>
      <c r="N278" s="53">
        <f t="shared" si="27"/>
        <v>1.9</v>
      </c>
      <c r="O278" s="54">
        <f t="shared" si="28"/>
        <v>1.4</v>
      </c>
      <c r="P278" s="1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8"/>
      <c r="DM278" s="58"/>
      <c r="DN278" s="58"/>
      <c r="DO278" s="58"/>
      <c r="DP278" s="58"/>
      <c r="DQ278" s="58"/>
      <c r="DR278" s="58"/>
      <c r="DS278" s="58"/>
      <c r="DT278" s="58"/>
    </row>
    <row r="279" spans="1:124" s="146" customFormat="1" ht="15">
      <c r="A279" s="3"/>
      <c r="B279" s="147"/>
      <c r="C279" s="147"/>
      <c r="D279" s="1"/>
      <c r="E279" s="74"/>
      <c r="F279" s="74"/>
      <c r="G279" s="74"/>
      <c r="H279" s="3"/>
      <c r="I279" s="48" t="s">
        <v>1617</v>
      </c>
      <c r="J279" s="53">
        <f t="shared" si="23"/>
        <v>4.8</v>
      </c>
      <c r="K279" s="53">
        <f t="shared" si="24"/>
        <v>5.0999999999999996</v>
      </c>
      <c r="L279" s="53">
        <f t="shared" si="25"/>
        <v>36.4</v>
      </c>
      <c r="M279" s="53">
        <f t="shared" si="26"/>
        <v>25.7</v>
      </c>
      <c r="N279" s="53">
        <f t="shared" si="27"/>
        <v>1.4</v>
      </c>
      <c r="O279" s="54">
        <f t="shared" si="28"/>
        <v>1.6</v>
      </c>
      <c r="P279" s="1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  <c r="DR279" s="58"/>
      <c r="DS279" s="58"/>
      <c r="DT279" s="58"/>
    </row>
    <row r="280" spans="1:124" s="146" customFormat="1" ht="15">
      <c r="A280" s="3"/>
      <c r="B280" s="147"/>
      <c r="C280" s="147"/>
      <c r="D280" s="1"/>
      <c r="E280" s="74"/>
      <c r="F280" s="74"/>
      <c r="G280" s="74"/>
      <c r="H280" s="3"/>
      <c r="I280" s="48" t="s">
        <v>556</v>
      </c>
      <c r="J280" s="53">
        <f>ROUND(AVERAGE(J191,J194,J197,J200,J203,J206,J209,J219,J229,J239,J249,J269),1)</f>
        <v>5.8</v>
      </c>
      <c r="K280" s="53">
        <f>ROUND(STDEV(J191,J194,J197,J200,J203,J206,J209,J219,J229,J239,J249,J269),1)</f>
        <v>3.8</v>
      </c>
      <c r="L280" s="53">
        <f>ROUND(AVERAGE(L191,L194,L197,L200,L203,L206,L209,L219,L229,L239,L249,L269),1)</f>
        <v>52.9</v>
      </c>
      <c r="M280" s="53">
        <f>ROUND(STDEV(L191,L194,L197,L200,L203,L206,L209,L219,L229,L239,L249,L269),1)</f>
        <v>31.8</v>
      </c>
      <c r="N280" s="53">
        <f>ROUND(AVERAGE(N191,N194,N197,N200,N203,N206,N209,N219,N229,N239,N249,N269),1)</f>
        <v>2.2000000000000002</v>
      </c>
      <c r="O280" s="54">
        <f>ROUND(STDEV(N191,N194,N197,N200,N203,N206,N209,N219,N229,N239,N249,N269),1)</f>
        <v>1.2</v>
      </c>
      <c r="P280" s="1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</row>
    <row r="281" spans="1:124" s="146" customFormat="1" ht="15">
      <c r="A281" s="3"/>
      <c r="B281" s="147"/>
      <c r="C281" s="147"/>
      <c r="D281" s="1"/>
      <c r="E281" s="74"/>
      <c r="F281" s="74"/>
      <c r="G281" s="74"/>
      <c r="H281" s="3"/>
      <c r="I281" s="48" t="s">
        <v>1647</v>
      </c>
      <c r="J281" s="53">
        <f>ROUND(AVERAGE(J191,J194,J197,J200,J203,J206,J209),1)</f>
        <v>2.8</v>
      </c>
      <c r="K281" s="53">
        <f>ROUND(STDEV(J191,J194,J197,J200,J203,J206,J209),1)</f>
        <v>0.5</v>
      </c>
      <c r="L281" s="53">
        <f>ROUND(AVERAGE(L191,L194,L197,L200,L203,L206,L209),1)</f>
        <v>74.3</v>
      </c>
      <c r="M281" s="53">
        <f>ROUND(STDEV(L191,L194,L197,L200,L203,L206,L209),1)</f>
        <v>19.8</v>
      </c>
      <c r="N281" s="53">
        <f>ROUND(AVERAGE(N191,N194,N197,N200,N203,N206,N209),1)</f>
        <v>2.1</v>
      </c>
      <c r="O281" s="54">
        <f>ROUND(STDEV(N191,N194,N197,N200,N203,N206,N209),1)</f>
        <v>0.7</v>
      </c>
      <c r="P281" s="1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</row>
    <row r="282" spans="1:124" s="146" customFormat="1" ht="16" thickBot="1">
      <c r="A282" s="3"/>
      <c r="B282" s="147"/>
      <c r="C282" s="147"/>
      <c r="D282" s="1"/>
      <c r="E282" s="74"/>
      <c r="F282" s="74"/>
      <c r="G282" s="74"/>
      <c r="H282" s="3"/>
      <c r="I282" s="49" t="s">
        <v>1646</v>
      </c>
      <c r="J282" s="55">
        <f>ROUND(AVERAGE(J219,J229,J239,J249,J259,J269),1)</f>
        <v>10.5</v>
      </c>
      <c r="K282" s="55">
        <f>ROUND(STDEV(J219,J229,J239,J249,J259,J269),1)</f>
        <v>1.7</v>
      </c>
      <c r="L282" s="55">
        <f>ROUND(AVERAGE(L219,L229,L239,L249,L259,L269),1)</f>
        <v>22.7</v>
      </c>
      <c r="M282" s="55">
        <f>ROUND(STDEV(L219,L229,L239,L249,L259,L269),1)</f>
        <v>15</v>
      </c>
      <c r="N282" s="55">
        <f>ROUND(AVERAGE(N219,N229,N239,N249,N259,N269),1)</f>
        <v>2.5</v>
      </c>
      <c r="O282" s="56">
        <f>ROUND(STDEV(N219,N229,N239,N249,N259,N269),1)</f>
        <v>1.7</v>
      </c>
      <c r="P282" s="1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</row>
    <row r="283" spans="1:124" s="58" customFormat="1">
      <c r="A283" s="35"/>
      <c r="B283" s="147"/>
      <c r="C283" s="147"/>
      <c r="D283" s="1"/>
      <c r="E283" s="74"/>
      <c r="F283" s="74"/>
      <c r="G283" s="74"/>
      <c r="H283" s="3"/>
      <c r="I283" s="3"/>
      <c r="J283" s="74"/>
      <c r="K283" s="74"/>
      <c r="L283" s="74"/>
      <c r="M283" s="74"/>
      <c r="N283" s="74"/>
      <c r="O283" s="74"/>
      <c r="P283" s="1"/>
    </row>
    <row r="284" spans="1:124" s="58" customFormat="1">
      <c r="A284" s="289"/>
      <c r="B284" s="290"/>
      <c r="C284" s="290"/>
      <c r="D284" s="291"/>
      <c r="E284" s="292"/>
      <c r="F284" s="292"/>
      <c r="G284" s="292"/>
      <c r="H284" s="293"/>
      <c r="I284" s="293"/>
      <c r="J284" s="292"/>
      <c r="K284" s="292"/>
      <c r="L284" s="292"/>
      <c r="M284" s="292"/>
      <c r="N284" s="292"/>
      <c r="O284" s="292"/>
      <c r="P284" s="291"/>
    </row>
    <row r="285" spans="1:124" s="58" customFormat="1">
      <c r="A285" s="35"/>
      <c r="B285" s="147"/>
      <c r="C285" s="147"/>
      <c r="D285" s="1"/>
      <c r="E285" s="74"/>
      <c r="F285" s="74"/>
      <c r="G285" s="74"/>
      <c r="H285" s="3"/>
      <c r="I285" s="3"/>
      <c r="J285" s="74"/>
      <c r="K285" s="74"/>
      <c r="L285" s="74"/>
      <c r="M285" s="74"/>
      <c r="N285" s="74"/>
      <c r="O285" s="74"/>
      <c r="P285" s="1"/>
    </row>
    <row r="286" spans="1:124">
      <c r="A286" s="19" t="s">
        <v>1642</v>
      </c>
      <c r="B286" s="20" t="s">
        <v>1832</v>
      </c>
      <c r="C286" s="20" t="s">
        <v>1623</v>
      </c>
      <c r="D286" s="21" t="s">
        <v>1624</v>
      </c>
      <c r="E286" s="22">
        <v>2000</v>
      </c>
      <c r="F286" s="109" t="s">
        <v>1625</v>
      </c>
      <c r="G286" s="22" t="s">
        <v>1046</v>
      </c>
      <c r="H286" s="19" t="s">
        <v>1550</v>
      </c>
      <c r="I286" s="19" t="s">
        <v>1826</v>
      </c>
      <c r="J286" s="22">
        <v>3.6</v>
      </c>
      <c r="K286" s="22">
        <v>0.2</v>
      </c>
      <c r="L286" s="22">
        <v>94</v>
      </c>
      <c r="M286" s="22" t="s">
        <v>1626</v>
      </c>
      <c r="N286" s="22">
        <v>3.4</v>
      </c>
      <c r="O286" s="22" t="s">
        <v>1626</v>
      </c>
      <c r="P286" s="21" t="s">
        <v>1573</v>
      </c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8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8"/>
      <c r="DM286" s="58"/>
      <c r="DN286" s="58"/>
      <c r="DO286" s="58"/>
      <c r="DP286" s="58"/>
      <c r="DQ286" s="58"/>
      <c r="DR286" s="58"/>
      <c r="DS286" s="58"/>
      <c r="DT286" s="58"/>
    </row>
    <row r="287" spans="1:124">
      <c r="A287" s="19" t="s">
        <v>1642</v>
      </c>
      <c r="B287" s="20" t="s">
        <v>1832</v>
      </c>
      <c r="C287" s="20" t="s">
        <v>1623</v>
      </c>
      <c r="D287" s="21" t="s">
        <v>1624</v>
      </c>
      <c r="E287" s="22">
        <v>2000</v>
      </c>
      <c r="F287" s="109" t="s">
        <v>1625</v>
      </c>
      <c r="G287" s="22" t="s">
        <v>1046</v>
      </c>
      <c r="H287" s="19" t="s">
        <v>1550</v>
      </c>
      <c r="I287" s="19" t="s">
        <v>1398</v>
      </c>
      <c r="J287" s="22">
        <v>6</v>
      </c>
      <c r="K287" s="22">
        <v>0.9</v>
      </c>
      <c r="L287" s="22">
        <v>67</v>
      </c>
      <c r="M287" s="22" t="s">
        <v>1626</v>
      </c>
      <c r="N287" s="22">
        <v>4</v>
      </c>
      <c r="O287" s="22" t="s">
        <v>1626</v>
      </c>
      <c r="P287" s="21" t="s">
        <v>1573</v>
      </c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  <c r="CR287" s="58"/>
      <c r="CS287" s="58"/>
      <c r="CT287" s="58"/>
      <c r="CU287" s="58"/>
      <c r="CV287" s="58"/>
      <c r="CW287" s="58"/>
      <c r="CX287" s="58"/>
      <c r="CY287" s="58"/>
      <c r="CZ287" s="58"/>
      <c r="DA287" s="58"/>
      <c r="DB287" s="58"/>
      <c r="DC287" s="58"/>
      <c r="DD287" s="58"/>
      <c r="DE287" s="58"/>
      <c r="DF287" s="58"/>
      <c r="DG287" s="58"/>
      <c r="DH287" s="58"/>
      <c r="DI287" s="58"/>
      <c r="DJ287" s="58"/>
      <c r="DK287" s="58"/>
      <c r="DL287" s="58"/>
      <c r="DM287" s="58"/>
      <c r="DN287" s="58"/>
      <c r="DO287" s="58"/>
      <c r="DP287" s="58"/>
      <c r="DQ287" s="58"/>
      <c r="DR287" s="58"/>
      <c r="DS287" s="58"/>
      <c r="DT287" s="58"/>
    </row>
    <row r="288" spans="1:124">
      <c r="A288" s="19" t="s">
        <v>1642</v>
      </c>
      <c r="B288" s="20" t="s">
        <v>1832</v>
      </c>
      <c r="C288" s="20" t="s">
        <v>1623</v>
      </c>
      <c r="D288" s="21" t="s">
        <v>1624</v>
      </c>
      <c r="E288" s="22">
        <v>2000</v>
      </c>
      <c r="F288" s="109" t="s">
        <v>1625</v>
      </c>
      <c r="G288" s="22" t="s">
        <v>1046</v>
      </c>
      <c r="H288" s="19" t="s">
        <v>1550</v>
      </c>
      <c r="I288" s="19" t="s">
        <v>1398</v>
      </c>
      <c r="J288" s="22">
        <v>3.9</v>
      </c>
      <c r="K288" s="22">
        <v>0.9</v>
      </c>
      <c r="L288" s="22">
        <v>69</v>
      </c>
      <c r="M288" s="22" t="s">
        <v>1626</v>
      </c>
      <c r="N288" s="22">
        <v>2.7</v>
      </c>
      <c r="O288" s="22" t="s">
        <v>1626</v>
      </c>
      <c r="P288" s="21" t="s">
        <v>1573</v>
      </c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  <c r="CR288" s="58"/>
      <c r="CS288" s="58"/>
      <c r="CT288" s="58"/>
      <c r="CU288" s="58"/>
      <c r="CV288" s="58"/>
      <c r="CW288" s="58"/>
      <c r="CX288" s="58"/>
      <c r="CY288" s="58"/>
      <c r="CZ288" s="58"/>
      <c r="DA288" s="58"/>
      <c r="DB288" s="58"/>
      <c r="DC288" s="58"/>
      <c r="DD288" s="58"/>
      <c r="DE288" s="58"/>
      <c r="DF288" s="58"/>
      <c r="DG288" s="58"/>
      <c r="DH288" s="58"/>
      <c r="DI288" s="58"/>
      <c r="DJ288" s="58"/>
      <c r="DK288" s="58"/>
      <c r="DL288" s="58"/>
      <c r="DM288" s="58"/>
      <c r="DN288" s="58"/>
      <c r="DO288" s="58"/>
      <c r="DP288" s="58"/>
      <c r="DQ288" s="58"/>
      <c r="DR288" s="58"/>
      <c r="DS288" s="58"/>
      <c r="DT288" s="58"/>
    </row>
    <row r="289" spans="1:124">
      <c r="A289" s="19" t="s">
        <v>1642</v>
      </c>
      <c r="B289" s="20" t="s">
        <v>1832</v>
      </c>
      <c r="C289" s="20" t="s">
        <v>1623</v>
      </c>
      <c r="D289" s="21" t="s">
        <v>1624</v>
      </c>
      <c r="E289" s="22">
        <v>2000</v>
      </c>
      <c r="F289" s="109" t="s">
        <v>1625</v>
      </c>
      <c r="G289" s="22" t="s">
        <v>1046</v>
      </c>
      <c r="H289" s="19" t="s">
        <v>1550</v>
      </c>
      <c r="I289" s="19" t="s">
        <v>1398</v>
      </c>
      <c r="J289" s="22">
        <v>3.7</v>
      </c>
      <c r="K289" s="22">
        <v>0.5</v>
      </c>
      <c r="L289" s="22">
        <v>91</v>
      </c>
      <c r="M289" s="22" t="s">
        <v>1626</v>
      </c>
      <c r="N289" s="22">
        <v>3.4</v>
      </c>
      <c r="O289" s="22" t="s">
        <v>1626</v>
      </c>
      <c r="P289" s="21" t="s">
        <v>1573</v>
      </c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  <c r="CR289" s="58"/>
      <c r="CS289" s="58"/>
      <c r="CT289" s="58"/>
      <c r="CU289" s="58"/>
      <c r="CV289" s="58"/>
      <c r="CW289" s="58"/>
      <c r="CX289" s="58"/>
      <c r="CY289" s="58"/>
      <c r="CZ289" s="58"/>
      <c r="DA289" s="58"/>
      <c r="DB289" s="58"/>
      <c r="DC289" s="58"/>
      <c r="DD289" s="58"/>
      <c r="DE289" s="58"/>
      <c r="DF289" s="58"/>
      <c r="DG289" s="58"/>
      <c r="DH289" s="58"/>
      <c r="DI289" s="58"/>
      <c r="DJ289" s="58"/>
      <c r="DK289" s="58"/>
      <c r="DL289" s="58"/>
      <c r="DM289" s="58"/>
      <c r="DN289" s="58"/>
      <c r="DO289" s="58"/>
      <c r="DP289" s="58"/>
      <c r="DQ289" s="58"/>
      <c r="DR289" s="58"/>
      <c r="DS289" s="58"/>
      <c r="DT289" s="58"/>
    </row>
    <row r="290" spans="1:124">
      <c r="A290" s="19" t="s">
        <v>1642</v>
      </c>
      <c r="B290" s="20" t="s">
        <v>1832</v>
      </c>
      <c r="C290" s="20" t="s">
        <v>1623</v>
      </c>
      <c r="D290" s="21" t="s">
        <v>1624</v>
      </c>
      <c r="E290" s="22">
        <v>2000</v>
      </c>
      <c r="F290" s="109" t="s">
        <v>1625</v>
      </c>
      <c r="G290" s="22" t="s">
        <v>1046</v>
      </c>
      <c r="H290" s="19" t="s">
        <v>1550</v>
      </c>
      <c r="I290" s="19" t="s">
        <v>1398</v>
      </c>
      <c r="J290" s="22">
        <v>3.7</v>
      </c>
      <c r="K290" s="22">
        <v>0.5</v>
      </c>
      <c r="L290" s="22">
        <v>35</v>
      </c>
      <c r="M290" s="22" t="s">
        <v>1626</v>
      </c>
      <c r="N290" s="22">
        <v>1.3</v>
      </c>
      <c r="O290" s="22" t="s">
        <v>1626</v>
      </c>
      <c r="P290" s="21" t="s">
        <v>1847</v>
      </c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  <c r="DR290" s="58"/>
      <c r="DS290" s="58"/>
      <c r="DT290" s="58"/>
    </row>
    <row r="291" spans="1:124">
      <c r="A291" s="19" t="s">
        <v>1642</v>
      </c>
      <c r="B291" s="20" t="s">
        <v>1832</v>
      </c>
      <c r="C291" s="20" t="s">
        <v>1623</v>
      </c>
      <c r="D291" s="21" t="s">
        <v>1624</v>
      </c>
      <c r="E291" s="22">
        <v>2000</v>
      </c>
      <c r="F291" s="109" t="s">
        <v>1625</v>
      </c>
      <c r="G291" s="22" t="s">
        <v>1046</v>
      </c>
      <c r="H291" s="19" t="s">
        <v>1550</v>
      </c>
      <c r="I291" s="19" t="s">
        <v>1826</v>
      </c>
      <c r="J291" s="22">
        <v>3.6</v>
      </c>
      <c r="K291" s="22">
        <v>0.1</v>
      </c>
      <c r="L291" s="22">
        <v>52</v>
      </c>
      <c r="M291" s="22" t="s">
        <v>1626</v>
      </c>
      <c r="N291" s="22">
        <v>1.9</v>
      </c>
      <c r="O291" s="22" t="s">
        <v>1626</v>
      </c>
      <c r="P291" s="21" t="s">
        <v>1847</v>
      </c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  <c r="DR291" s="58"/>
      <c r="DS291" s="58"/>
      <c r="DT291" s="58"/>
    </row>
    <row r="292" spans="1:124">
      <c r="A292" s="19" t="s">
        <v>1642</v>
      </c>
      <c r="B292" s="20" t="s">
        <v>1832</v>
      </c>
      <c r="C292" s="20" t="s">
        <v>1623</v>
      </c>
      <c r="D292" s="21" t="s">
        <v>1624</v>
      </c>
      <c r="E292" s="22">
        <v>2000</v>
      </c>
      <c r="F292" s="109" t="s">
        <v>1625</v>
      </c>
      <c r="G292" s="22" t="s">
        <v>1046</v>
      </c>
      <c r="H292" s="19" t="s">
        <v>1550</v>
      </c>
      <c r="I292" s="19" t="s">
        <v>1398</v>
      </c>
      <c r="J292" s="22">
        <v>4.4000000000000004</v>
      </c>
      <c r="K292" s="22">
        <v>0.2</v>
      </c>
      <c r="L292" s="22">
        <v>86</v>
      </c>
      <c r="M292" s="22" t="s">
        <v>1626</v>
      </c>
      <c r="N292" s="22">
        <v>3.8</v>
      </c>
      <c r="O292" s="22" t="s">
        <v>1626</v>
      </c>
      <c r="P292" s="21" t="s">
        <v>1847</v>
      </c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  <c r="CR292" s="58"/>
      <c r="CS292" s="58"/>
      <c r="CT292" s="58"/>
      <c r="CU292" s="58"/>
      <c r="CV292" s="58"/>
      <c r="CW292" s="58"/>
      <c r="CX292" s="58"/>
      <c r="CY292" s="58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  <c r="DR292" s="58"/>
      <c r="DS292" s="58"/>
      <c r="DT292" s="58"/>
    </row>
    <row r="293" spans="1:124" ht="14" thickBot="1">
      <c r="A293" s="19" t="s">
        <v>1642</v>
      </c>
      <c r="B293" s="20" t="s">
        <v>1832</v>
      </c>
      <c r="C293" s="20" t="s">
        <v>1623</v>
      </c>
      <c r="D293" s="21" t="s">
        <v>1624</v>
      </c>
      <c r="E293" s="22">
        <v>2000</v>
      </c>
      <c r="F293" s="109" t="s">
        <v>1625</v>
      </c>
      <c r="G293" s="22" t="s">
        <v>1046</v>
      </c>
      <c r="H293" s="19" t="s">
        <v>1550</v>
      </c>
      <c r="I293" s="38" t="s">
        <v>1398</v>
      </c>
      <c r="J293" s="45">
        <v>4.7</v>
      </c>
      <c r="K293" s="45">
        <v>0.7</v>
      </c>
      <c r="L293" s="45">
        <v>54</v>
      </c>
      <c r="M293" s="45" t="s">
        <v>1626</v>
      </c>
      <c r="N293" s="45">
        <v>2.5</v>
      </c>
      <c r="O293" s="45" t="s">
        <v>1626</v>
      </c>
      <c r="P293" s="21" t="s">
        <v>1847</v>
      </c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  <c r="CR293" s="58"/>
      <c r="CS293" s="58"/>
      <c r="CT293" s="58"/>
      <c r="CU293" s="58"/>
      <c r="CV293" s="58"/>
      <c r="CW293" s="58"/>
      <c r="CX293" s="58"/>
      <c r="CY293" s="58"/>
      <c r="CZ293" s="58"/>
      <c r="DA293" s="58"/>
      <c r="DB293" s="58"/>
      <c r="DC293" s="58"/>
      <c r="DD293" s="58"/>
      <c r="DE293" s="58"/>
      <c r="DF293" s="58"/>
      <c r="DG293" s="58"/>
      <c r="DH293" s="58"/>
      <c r="DI293" s="58"/>
      <c r="DJ293" s="58"/>
      <c r="DK293" s="58"/>
      <c r="DL293" s="58"/>
      <c r="DM293" s="58"/>
      <c r="DN293" s="58"/>
      <c r="DO293" s="58"/>
      <c r="DP293" s="58"/>
      <c r="DQ293" s="58"/>
      <c r="DR293" s="58"/>
      <c r="DS293" s="58"/>
      <c r="DT293" s="58"/>
    </row>
    <row r="294" spans="1:124" ht="14" thickBot="1">
      <c r="A294" s="3"/>
      <c r="B294" s="147"/>
      <c r="C294" s="147"/>
      <c r="D294" s="1"/>
      <c r="E294" s="74"/>
      <c r="F294" s="114"/>
      <c r="G294" s="74"/>
      <c r="H294" s="3"/>
      <c r="I294" s="90" t="s">
        <v>1099</v>
      </c>
      <c r="J294" s="67">
        <f>ROUND(AVERAGE(J286:J293),1)</f>
        <v>4.2</v>
      </c>
      <c r="K294" s="67">
        <f>ROUND(STDEV(J286:J293),1)</f>
        <v>0.8</v>
      </c>
      <c r="L294" s="67">
        <f>ROUND(AVERAGE(L286:L293),1)</f>
        <v>68.5</v>
      </c>
      <c r="M294" s="67">
        <f>ROUND(STDEV(L286:L293),1)</f>
        <v>20.9</v>
      </c>
      <c r="N294" s="67">
        <f>ROUND(AVERAGE(N286:N293),1)</f>
        <v>2.9</v>
      </c>
      <c r="O294" s="68">
        <f>ROUND(STDEV(N286:N293),1)</f>
        <v>0.9</v>
      </c>
      <c r="P294" s="1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8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  <c r="DR294" s="58"/>
      <c r="DS294" s="58"/>
      <c r="DT294" s="58"/>
    </row>
    <row r="295" spans="1:124" s="58" customFormat="1">
      <c r="A295" s="35"/>
      <c r="B295" s="147"/>
      <c r="C295" s="147"/>
      <c r="D295" s="1"/>
      <c r="E295" s="74"/>
      <c r="F295" s="114"/>
      <c r="G295" s="74"/>
      <c r="H295" s="3"/>
      <c r="I295" s="3"/>
      <c r="J295" s="74"/>
      <c r="K295" s="74"/>
      <c r="L295" s="74"/>
      <c r="M295" s="74"/>
      <c r="N295" s="74"/>
      <c r="O295" s="74"/>
      <c r="P295" s="1"/>
    </row>
    <row r="296" spans="1:124" s="58" customFormat="1">
      <c r="A296" s="289"/>
      <c r="B296" s="290"/>
      <c r="C296" s="290"/>
      <c r="D296" s="291"/>
      <c r="E296" s="292"/>
      <c r="F296" s="302"/>
      <c r="G296" s="292"/>
      <c r="H296" s="293"/>
      <c r="I296" s="293"/>
      <c r="J296" s="292"/>
      <c r="K296" s="292"/>
      <c r="L296" s="292"/>
      <c r="M296" s="292"/>
      <c r="N296" s="292"/>
      <c r="O296" s="292"/>
      <c r="P296" s="291"/>
    </row>
    <row r="297" spans="1:124" s="58" customFormat="1">
      <c r="A297" s="35"/>
      <c r="B297" s="147"/>
      <c r="C297" s="147"/>
      <c r="D297" s="1"/>
      <c r="E297" s="74"/>
      <c r="F297" s="114"/>
      <c r="G297" s="74"/>
      <c r="H297" s="3"/>
      <c r="I297" s="3"/>
      <c r="J297" s="74"/>
      <c r="K297" s="74"/>
      <c r="L297" s="74"/>
      <c r="M297" s="74"/>
      <c r="N297" s="74"/>
      <c r="O297" s="74"/>
      <c r="P297" s="1"/>
    </row>
    <row r="298" spans="1:124" s="26" customFormat="1">
      <c r="A298" s="19" t="s">
        <v>1892</v>
      </c>
      <c r="B298" s="20" t="s">
        <v>1893</v>
      </c>
      <c r="C298" s="20" t="s">
        <v>1777</v>
      </c>
      <c r="D298" s="21" t="s">
        <v>1778</v>
      </c>
      <c r="E298" s="22">
        <v>2005</v>
      </c>
      <c r="F298" s="22">
        <v>11</v>
      </c>
      <c r="G298" s="22">
        <v>30</v>
      </c>
      <c r="H298" s="19" t="s">
        <v>1766</v>
      </c>
      <c r="I298" s="19" t="s">
        <v>1398</v>
      </c>
      <c r="J298" s="22">
        <v>4.2</v>
      </c>
      <c r="K298" s="22">
        <v>0.3</v>
      </c>
      <c r="L298" s="22">
        <v>79</v>
      </c>
      <c r="M298" s="22">
        <v>11</v>
      </c>
      <c r="N298" s="22">
        <v>3.3</v>
      </c>
      <c r="O298" s="22">
        <v>0.4</v>
      </c>
      <c r="P298" s="21" t="s">
        <v>1767</v>
      </c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</row>
    <row r="299" spans="1:124" s="26" customFormat="1">
      <c r="A299" s="19" t="s">
        <v>1892</v>
      </c>
      <c r="B299" s="20" t="s">
        <v>1893</v>
      </c>
      <c r="C299" s="20" t="s">
        <v>1777</v>
      </c>
      <c r="D299" s="21" t="s">
        <v>1778</v>
      </c>
      <c r="E299" s="22">
        <v>2005</v>
      </c>
      <c r="F299" s="22">
        <v>12</v>
      </c>
      <c r="G299" s="22">
        <v>1</v>
      </c>
      <c r="H299" s="19" t="s">
        <v>1766</v>
      </c>
      <c r="I299" s="19" t="s">
        <v>1398</v>
      </c>
      <c r="J299" s="22">
        <v>7.3</v>
      </c>
      <c r="K299" s="22">
        <v>0.7</v>
      </c>
      <c r="L299" s="22">
        <v>68</v>
      </c>
      <c r="M299" s="22">
        <v>9</v>
      </c>
      <c r="N299" s="22">
        <v>5</v>
      </c>
      <c r="O299" s="22">
        <v>0.5</v>
      </c>
      <c r="P299" s="21" t="s">
        <v>1911</v>
      </c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</row>
    <row r="300" spans="1:124" s="26" customFormat="1">
      <c r="A300" s="19" t="s">
        <v>1892</v>
      </c>
      <c r="B300" s="20" t="s">
        <v>1893</v>
      </c>
      <c r="C300" s="20" t="s">
        <v>1777</v>
      </c>
      <c r="D300" s="21" t="s">
        <v>1778</v>
      </c>
      <c r="E300" s="22">
        <v>2005</v>
      </c>
      <c r="F300" s="22">
        <v>12</v>
      </c>
      <c r="G300" s="22">
        <v>2</v>
      </c>
      <c r="H300" s="19" t="s">
        <v>1766</v>
      </c>
      <c r="I300" s="19" t="s">
        <v>1398</v>
      </c>
      <c r="J300" s="22">
        <v>4.5</v>
      </c>
      <c r="K300" s="22">
        <v>0.4</v>
      </c>
      <c r="L300" s="22">
        <v>93</v>
      </c>
      <c r="M300" s="22">
        <v>12</v>
      </c>
      <c r="N300" s="22">
        <v>4.2</v>
      </c>
      <c r="O300" s="22">
        <v>0.4</v>
      </c>
      <c r="P300" s="21" t="s">
        <v>1663</v>
      </c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</row>
    <row r="301" spans="1:124" s="26" customFormat="1" ht="14" thickBot="1">
      <c r="A301" s="19" t="s">
        <v>1892</v>
      </c>
      <c r="B301" s="20" t="s">
        <v>1893</v>
      </c>
      <c r="C301" s="20" t="s">
        <v>1777</v>
      </c>
      <c r="D301" s="21" t="s">
        <v>1778</v>
      </c>
      <c r="E301" s="22">
        <v>2005</v>
      </c>
      <c r="F301" s="22">
        <v>12</v>
      </c>
      <c r="G301" s="22">
        <v>4</v>
      </c>
      <c r="H301" s="19" t="s">
        <v>1766</v>
      </c>
      <c r="I301" s="38" t="s">
        <v>1398</v>
      </c>
      <c r="J301" s="45">
        <v>7</v>
      </c>
      <c r="K301" s="45">
        <v>0.7</v>
      </c>
      <c r="L301" s="45">
        <v>59</v>
      </c>
      <c r="M301" s="45">
        <v>10</v>
      </c>
      <c r="N301" s="45">
        <v>4.0999999999999996</v>
      </c>
      <c r="O301" s="45">
        <v>0.6</v>
      </c>
      <c r="P301" s="21" t="s">
        <v>1664</v>
      </c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</row>
    <row r="302" spans="1:124" s="26" customFormat="1" ht="14" thickBot="1">
      <c r="A302" s="3"/>
      <c r="B302" s="147"/>
      <c r="C302" s="147"/>
      <c r="D302" s="1"/>
      <c r="E302" s="74"/>
      <c r="F302" s="74"/>
      <c r="G302" s="74"/>
      <c r="H302" s="3"/>
      <c r="I302" s="90" t="s">
        <v>1099</v>
      </c>
      <c r="J302" s="67">
        <f>ROUND(AVERAGE(J298:J301),1)</f>
        <v>5.8</v>
      </c>
      <c r="K302" s="67">
        <f>ROUND(STDEV(J298:J301),1)</f>
        <v>1.6</v>
      </c>
      <c r="L302" s="67">
        <f>ROUND(AVERAGE(L298:L301),1)</f>
        <v>74.8</v>
      </c>
      <c r="M302" s="67">
        <f>ROUND(STDEV(L298:L301),1)</f>
        <v>14.7</v>
      </c>
      <c r="N302" s="67">
        <f>ROUND(AVERAGE(N298:N301),1)</f>
        <v>4.2</v>
      </c>
      <c r="O302" s="68">
        <f>ROUND(STDEV(N298:N301),1)</f>
        <v>0.7</v>
      </c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</row>
    <row r="303" spans="1:124" s="1" customFormat="1">
      <c r="A303" s="3"/>
      <c r="B303" s="147"/>
      <c r="C303" s="147"/>
      <c r="E303" s="74"/>
      <c r="F303" s="74"/>
      <c r="G303" s="74"/>
      <c r="H303" s="3"/>
      <c r="I303" s="60"/>
      <c r="J303" s="80"/>
      <c r="K303" s="80"/>
      <c r="L303" s="80"/>
      <c r="M303" s="80"/>
      <c r="N303" s="80"/>
      <c r="O303" s="80"/>
    </row>
    <row r="304" spans="1:124" s="1" customFormat="1">
      <c r="A304" s="293"/>
      <c r="B304" s="290"/>
      <c r="C304" s="290"/>
      <c r="D304" s="291"/>
      <c r="E304" s="292"/>
      <c r="F304" s="292"/>
      <c r="G304" s="292"/>
      <c r="H304" s="293"/>
      <c r="I304" s="298"/>
      <c r="J304" s="299"/>
      <c r="K304" s="299"/>
      <c r="L304" s="299"/>
      <c r="M304" s="299"/>
      <c r="N304" s="299"/>
      <c r="O304" s="299"/>
      <c r="P304" s="291"/>
    </row>
    <row r="305" spans="1:16" s="1" customFormat="1">
      <c r="A305" s="3"/>
      <c r="B305" s="147"/>
      <c r="C305" s="147"/>
      <c r="E305" s="74"/>
      <c r="F305" s="74"/>
      <c r="G305" s="74"/>
      <c r="H305" s="3"/>
      <c r="I305" s="60"/>
      <c r="J305" s="80"/>
      <c r="K305" s="80"/>
      <c r="L305" s="80"/>
      <c r="M305" s="80"/>
      <c r="N305" s="80"/>
      <c r="O305" s="80"/>
    </row>
    <row r="306" spans="1:16" s="1" customFormat="1">
      <c r="A306" s="19" t="s">
        <v>632</v>
      </c>
      <c r="B306" s="20" t="s">
        <v>1665</v>
      </c>
      <c r="C306" s="20" t="s">
        <v>1666</v>
      </c>
      <c r="D306" s="21" t="s">
        <v>1786</v>
      </c>
      <c r="E306" s="22">
        <v>1990</v>
      </c>
      <c r="F306" s="109" t="s">
        <v>1625</v>
      </c>
      <c r="G306" s="22" t="s">
        <v>1046</v>
      </c>
      <c r="H306" s="19" t="s">
        <v>1363</v>
      </c>
      <c r="I306" s="19" t="s">
        <v>1787</v>
      </c>
      <c r="J306" s="22" t="s">
        <v>1788</v>
      </c>
      <c r="K306" s="22">
        <v>0</v>
      </c>
      <c r="L306" s="22" t="s">
        <v>986</v>
      </c>
      <c r="M306" s="22" t="s">
        <v>986</v>
      </c>
      <c r="N306" s="22" t="s">
        <v>986</v>
      </c>
      <c r="O306" s="22" t="s">
        <v>986</v>
      </c>
      <c r="P306" s="21" t="s">
        <v>1789</v>
      </c>
    </row>
    <row r="307" spans="1:16" s="1" customFormat="1">
      <c r="A307" s="19"/>
      <c r="B307" s="20"/>
      <c r="C307" s="20"/>
      <c r="D307" s="21"/>
      <c r="E307" s="22"/>
      <c r="F307" s="109"/>
      <c r="G307" s="22"/>
      <c r="H307" s="19"/>
      <c r="I307" s="19" t="s">
        <v>1485</v>
      </c>
      <c r="J307" s="22">
        <v>5.5</v>
      </c>
      <c r="K307" s="22">
        <v>0.4</v>
      </c>
      <c r="L307" s="22" t="s">
        <v>986</v>
      </c>
      <c r="M307" s="22" t="s">
        <v>986</v>
      </c>
      <c r="N307" s="22" t="s">
        <v>986</v>
      </c>
      <c r="O307" s="22" t="s">
        <v>986</v>
      </c>
      <c r="P307" s="21" t="s">
        <v>1789</v>
      </c>
    </row>
    <row r="308" spans="1:16" s="1" customFormat="1">
      <c r="A308" s="19"/>
      <c r="B308" s="20"/>
      <c r="C308" s="20"/>
      <c r="D308" s="21"/>
      <c r="E308" s="22"/>
      <c r="F308" s="109"/>
      <c r="G308" s="22"/>
      <c r="H308" s="19"/>
      <c r="I308" s="19" t="s">
        <v>1613</v>
      </c>
      <c r="J308" s="22">
        <v>1.2</v>
      </c>
      <c r="K308" s="22">
        <v>0.1</v>
      </c>
      <c r="L308" s="22" t="s">
        <v>986</v>
      </c>
      <c r="M308" s="22" t="s">
        <v>986</v>
      </c>
      <c r="N308" s="22" t="s">
        <v>986</v>
      </c>
      <c r="O308" s="22" t="s">
        <v>986</v>
      </c>
      <c r="P308" s="21" t="s">
        <v>1789</v>
      </c>
    </row>
    <row r="309" spans="1:16" s="1" customFormat="1">
      <c r="A309" s="19"/>
      <c r="B309" s="20"/>
      <c r="C309" s="20"/>
      <c r="D309" s="21"/>
      <c r="E309" s="22"/>
      <c r="F309" s="109"/>
      <c r="G309" s="22"/>
      <c r="H309" s="19"/>
      <c r="I309" s="19" t="s">
        <v>1662</v>
      </c>
      <c r="J309" s="22">
        <v>6.7</v>
      </c>
      <c r="K309" s="22">
        <v>0.5</v>
      </c>
      <c r="L309" s="22">
        <v>100</v>
      </c>
      <c r="M309" s="22">
        <v>0</v>
      </c>
      <c r="N309" s="22">
        <v>6.7</v>
      </c>
      <c r="O309" s="22" t="s">
        <v>986</v>
      </c>
      <c r="P309" s="21" t="s">
        <v>1789</v>
      </c>
    </row>
    <row r="310" spans="1:16" s="1" customFormat="1">
      <c r="A310" s="19"/>
      <c r="B310" s="20"/>
      <c r="C310" s="20"/>
      <c r="D310" s="21"/>
      <c r="E310" s="22"/>
      <c r="F310" s="109"/>
      <c r="G310" s="22"/>
      <c r="H310" s="19"/>
      <c r="I310" s="19" t="s">
        <v>1282</v>
      </c>
      <c r="J310" s="22">
        <v>0.4</v>
      </c>
      <c r="K310" s="22">
        <v>0.1</v>
      </c>
      <c r="L310" s="22">
        <v>100</v>
      </c>
      <c r="M310" s="22">
        <v>0.1</v>
      </c>
      <c r="N310" s="22">
        <v>0.4</v>
      </c>
      <c r="O310" s="22" t="s">
        <v>986</v>
      </c>
      <c r="P310" s="21" t="s">
        <v>1789</v>
      </c>
    </row>
    <row r="311" spans="1:16" s="1" customFormat="1">
      <c r="A311" s="19"/>
      <c r="B311" s="20"/>
      <c r="C311" s="20"/>
      <c r="D311" s="21"/>
      <c r="E311" s="22"/>
      <c r="F311" s="109"/>
      <c r="G311" s="22"/>
      <c r="H311" s="19"/>
      <c r="I311" s="19" t="s">
        <v>1486</v>
      </c>
      <c r="J311" s="22" t="s">
        <v>986</v>
      </c>
      <c r="K311" s="22" t="s">
        <v>986</v>
      </c>
      <c r="L311" s="22" t="s">
        <v>986</v>
      </c>
      <c r="M311" s="22" t="s">
        <v>986</v>
      </c>
      <c r="N311" s="22" t="s">
        <v>986</v>
      </c>
      <c r="O311" s="22" t="s">
        <v>986</v>
      </c>
      <c r="P311" s="21" t="s">
        <v>1789</v>
      </c>
    </row>
    <row r="312" spans="1:16" s="1" customFormat="1">
      <c r="A312" s="19"/>
      <c r="B312" s="20"/>
      <c r="C312" s="20"/>
      <c r="D312" s="21"/>
      <c r="E312" s="22"/>
      <c r="F312" s="109"/>
      <c r="G312" s="22"/>
      <c r="H312" s="19"/>
      <c r="I312" s="19" t="s">
        <v>1796</v>
      </c>
      <c r="J312" s="22" t="s">
        <v>986</v>
      </c>
      <c r="K312" s="22" t="s">
        <v>986</v>
      </c>
      <c r="L312" s="22" t="s">
        <v>986</v>
      </c>
      <c r="M312" s="22" t="s">
        <v>986</v>
      </c>
      <c r="N312" s="22" t="s">
        <v>986</v>
      </c>
      <c r="O312" s="22" t="s">
        <v>986</v>
      </c>
      <c r="P312" s="21" t="s">
        <v>1789</v>
      </c>
    </row>
    <row r="313" spans="1:16" s="1" customFormat="1">
      <c r="A313" s="19"/>
      <c r="B313" s="20"/>
      <c r="C313" s="20"/>
      <c r="D313" s="21"/>
      <c r="E313" s="22"/>
      <c r="F313" s="109"/>
      <c r="G313" s="22"/>
      <c r="H313" s="19"/>
      <c r="I313" s="19" t="s">
        <v>1864</v>
      </c>
      <c r="J313" s="22" t="s">
        <v>986</v>
      </c>
      <c r="K313" s="22" t="s">
        <v>986</v>
      </c>
      <c r="L313" s="22" t="s">
        <v>986</v>
      </c>
      <c r="M313" s="22" t="s">
        <v>986</v>
      </c>
      <c r="N313" s="22" t="s">
        <v>986</v>
      </c>
      <c r="O313" s="22" t="s">
        <v>986</v>
      </c>
      <c r="P313" s="21" t="s">
        <v>1789</v>
      </c>
    </row>
    <row r="314" spans="1:16" s="1" customFormat="1">
      <c r="A314" s="19"/>
      <c r="B314" s="20"/>
      <c r="C314" s="20"/>
      <c r="D314" s="21"/>
      <c r="E314" s="22"/>
      <c r="F314" s="109"/>
      <c r="G314" s="22"/>
      <c r="H314" s="19"/>
      <c r="I314" s="19" t="s">
        <v>1865</v>
      </c>
      <c r="J314" s="22" t="s">
        <v>986</v>
      </c>
      <c r="K314" s="22" t="s">
        <v>986</v>
      </c>
      <c r="L314" s="22" t="s">
        <v>986</v>
      </c>
      <c r="M314" s="22" t="s">
        <v>986</v>
      </c>
      <c r="N314" s="22" t="s">
        <v>986</v>
      </c>
      <c r="O314" s="22" t="s">
        <v>986</v>
      </c>
      <c r="P314" s="21" t="s">
        <v>1789</v>
      </c>
    </row>
    <row r="315" spans="1:16" s="1" customFormat="1">
      <c r="A315" s="19"/>
      <c r="B315" s="20"/>
      <c r="C315" s="20"/>
      <c r="D315" s="21"/>
      <c r="E315" s="22"/>
      <c r="F315" s="109"/>
      <c r="G315" s="22"/>
      <c r="H315" s="19"/>
      <c r="I315" s="19" t="s">
        <v>1264</v>
      </c>
      <c r="J315" s="22" t="s">
        <v>986</v>
      </c>
      <c r="K315" s="22" t="s">
        <v>986</v>
      </c>
      <c r="L315" s="22" t="s">
        <v>986</v>
      </c>
      <c r="M315" s="22" t="s">
        <v>986</v>
      </c>
      <c r="N315" s="22" t="s">
        <v>986</v>
      </c>
      <c r="O315" s="22" t="s">
        <v>986</v>
      </c>
      <c r="P315" s="21" t="s">
        <v>1789</v>
      </c>
    </row>
    <row r="316" spans="1:16" s="1" customFormat="1">
      <c r="A316" s="19"/>
      <c r="B316" s="20"/>
      <c r="C316" s="20"/>
      <c r="D316" s="21"/>
      <c r="E316" s="22"/>
      <c r="F316" s="109"/>
      <c r="G316" s="22"/>
      <c r="H316" s="19"/>
      <c r="I316" s="19" t="s">
        <v>485</v>
      </c>
      <c r="J316" s="22">
        <v>7.1</v>
      </c>
      <c r="K316" s="22">
        <v>0.5</v>
      </c>
      <c r="L316" s="22">
        <v>100</v>
      </c>
      <c r="M316" s="22">
        <v>0</v>
      </c>
      <c r="N316" s="22">
        <v>7.1</v>
      </c>
      <c r="O316" s="22">
        <v>0.5</v>
      </c>
      <c r="P316" s="21" t="s">
        <v>1789</v>
      </c>
    </row>
    <row r="317" spans="1:16" s="1" customFormat="1">
      <c r="A317" s="19" t="s">
        <v>632</v>
      </c>
      <c r="B317" s="20" t="s">
        <v>1665</v>
      </c>
      <c r="C317" s="20" t="s">
        <v>1666</v>
      </c>
      <c r="D317" s="21" t="s">
        <v>1866</v>
      </c>
      <c r="E317" s="22">
        <v>1990</v>
      </c>
      <c r="F317" s="109" t="s">
        <v>1625</v>
      </c>
      <c r="G317" s="22" t="s">
        <v>1046</v>
      </c>
      <c r="H317" s="19" t="s">
        <v>1363</v>
      </c>
      <c r="I317" s="19" t="s">
        <v>1996</v>
      </c>
      <c r="J317" s="22">
        <v>0.4</v>
      </c>
      <c r="K317" s="22">
        <v>0.1</v>
      </c>
      <c r="L317" s="22">
        <v>100</v>
      </c>
      <c r="M317" s="22">
        <v>0</v>
      </c>
      <c r="N317" s="22">
        <v>0.4</v>
      </c>
      <c r="O317" s="22" t="s">
        <v>986</v>
      </c>
      <c r="P317" s="21" t="s">
        <v>1997</v>
      </c>
    </row>
    <row r="318" spans="1:16" s="1" customFormat="1">
      <c r="A318" s="19"/>
      <c r="B318" s="20"/>
      <c r="C318" s="20"/>
      <c r="D318" s="21"/>
      <c r="E318" s="22"/>
      <c r="F318" s="109"/>
      <c r="G318" s="22"/>
      <c r="H318" s="19"/>
      <c r="I318" s="19" t="s">
        <v>1485</v>
      </c>
      <c r="J318" s="22">
        <v>5.8</v>
      </c>
      <c r="K318" s="22">
        <v>0.4</v>
      </c>
      <c r="L318" s="22" t="s">
        <v>986</v>
      </c>
      <c r="M318" s="22" t="s">
        <v>986</v>
      </c>
      <c r="N318" s="22" t="s">
        <v>986</v>
      </c>
      <c r="O318" s="22" t="s">
        <v>986</v>
      </c>
      <c r="P318" s="21" t="s">
        <v>1997</v>
      </c>
    </row>
    <row r="319" spans="1:16" s="1" customFormat="1">
      <c r="A319" s="19"/>
      <c r="B319" s="20"/>
      <c r="C319" s="20"/>
      <c r="D319" s="21"/>
      <c r="E319" s="22"/>
      <c r="F319" s="109"/>
      <c r="G319" s="22"/>
      <c r="H319" s="19"/>
      <c r="I319" s="19" t="s">
        <v>1613</v>
      </c>
      <c r="J319" s="22">
        <v>0.8</v>
      </c>
      <c r="K319" s="22">
        <v>0.1</v>
      </c>
      <c r="L319" s="22" t="s">
        <v>986</v>
      </c>
      <c r="M319" s="22" t="s">
        <v>986</v>
      </c>
      <c r="N319" s="22" t="s">
        <v>986</v>
      </c>
      <c r="O319" s="22" t="s">
        <v>986</v>
      </c>
      <c r="P319" s="21" t="s">
        <v>1997</v>
      </c>
    </row>
    <row r="320" spans="1:16" s="1" customFormat="1">
      <c r="A320" s="19"/>
      <c r="B320" s="20"/>
      <c r="C320" s="20"/>
      <c r="D320" s="21"/>
      <c r="E320" s="22"/>
      <c r="F320" s="109"/>
      <c r="G320" s="22"/>
      <c r="H320" s="19"/>
      <c r="I320" s="19" t="s">
        <v>1662</v>
      </c>
      <c r="J320" s="22">
        <v>6.6</v>
      </c>
      <c r="K320" s="22">
        <v>0.4</v>
      </c>
      <c r="L320" s="22">
        <v>98</v>
      </c>
      <c r="M320" s="22">
        <v>0.6</v>
      </c>
      <c r="N320" s="22">
        <f>6.6*0.98</f>
        <v>6.468</v>
      </c>
      <c r="O320" s="22" t="s">
        <v>986</v>
      </c>
      <c r="P320" s="21" t="s">
        <v>1997</v>
      </c>
    </row>
    <row r="321" spans="1:16" s="1" customFormat="1">
      <c r="A321" s="19"/>
      <c r="B321" s="20"/>
      <c r="C321" s="20"/>
      <c r="D321" s="21"/>
      <c r="E321" s="22"/>
      <c r="F321" s="109"/>
      <c r="G321" s="22"/>
      <c r="H321" s="19"/>
      <c r="I321" s="19" t="s">
        <v>1282</v>
      </c>
      <c r="J321" s="22">
        <v>0.3</v>
      </c>
      <c r="K321" s="22">
        <v>0.1</v>
      </c>
      <c r="L321" s="22">
        <v>71</v>
      </c>
      <c r="M321" s="22">
        <v>62.5</v>
      </c>
      <c r="N321" s="22">
        <f>0.3*0.71</f>
        <v>0.21299999999999999</v>
      </c>
      <c r="O321" s="22" t="s">
        <v>986</v>
      </c>
      <c r="P321" s="21" t="s">
        <v>1997</v>
      </c>
    </row>
    <row r="322" spans="1:16" s="1" customFormat="1">
      <c r="A322" s="19"/>
      <c r="B322" s="20"/>
      <c r="C322" s="20"/>
      <c r="D322" s="21"/>
      <c r="E322" s="22"/>
      <c r="F322" s="109"/>
      <c r="G322" s="22"/>
      <c r="H322" s="19"/>
      <c r="I322" s="19" t="s">
        <v>1486</v>
      </c>
      <c r="J322" s="22" t="s">
        <v>986</v>
      </c>
      <c r="K322" s="22" t="s">
        <v>986</v>
      </c>
      <c r="L322" s="22" t="s">
        <v>986</v>
      </c>
      <c r="M322" s="22" t="s">
        <v>986</v>
      </c>
      <c r="N322" s="22" t="s">
        <v>986</v>
      </c>
      <c r="O322" s="22" t="s">
        <v>986</v>
      </c>
      <c r="P322" s="21" t="s">
        <v>1997</v>
      </c>
    </row>
    <row r="323" spans="1:16" s="1" customFormat="1">
      <c r="A323" s="19"/>
      <c r="B323" s="20"/>
      <c r="C323" s="20"/>
      <c r="D323" s="21"/>
      <c r="E323" s="22"/>
      <c r="F323" s="109"/>
      <c r="G323" s="22"/>
      <c r="H323" s="19"/>
      <c r="I323" s="19" t="s">
        <v>1694</v>
      </c>
      <c r="J323" s="22" t="s">
        <v>986</v>
      </c>
      <c r="K323" s="22" t="s">
        <v>986</v>
      </c>
      <c r="L323" s="22" t="s">
        <v>986</v>
      </c>
      <c r="M323" s="22" t="s">
        <v>986</v>
      </c>
      <c r="N323" s="22" t="s">
        <v>986</v>
      </c>
      <c r="O323" s="22" t="s">
        <v>986</v>
      </c>
      <c r="P323" s="21" t="s">
        <v>1997</v>
      </c>
    </row>
    <row r="324" spans="1:16" s="1" customFormat="1">
      <c r="A324" s="19"/>
      <c r="B324" s="20"/>
      <c r="C324" s="20"/>
      <c r="D324" s="21"/>
      <c r="E324" s="22"/>
      <c r="F324" s="109"/>
      <c r="G324" s="22"/>
      <c r="H324" s="19"/>
      <c r="I324" s="19" t="s">
        <v>1864</v>
      </c>
      <c r="J324" s="22" t="s">
        <v>986</v>
      </c>
      <c r="K324" s="22" t="s">
        <v>986</v>
      </c>
      <c r="L324" s="22" t="s">
        <v>986</v>
      </c>
      <c r="M324" s="22" t="s">
        <v>986</v>
      </c>
      <c r="N324" s="22" t="s">
        <v>986</v>
      </c>
      <c r="O324" s="22" t="s">
        <v>986</v>
      </c>
      <c r="P324" s="21" t="s">
        <v>1997</v>
      </c>
    </row>
    <row r="325" spans="1:16" s="1" customFormat="1">
      <c r="A325" s="19"/>
      <c r="B325" s="20"/>
      <c r="C325" s="20"/>
      <c r="D325" s="21"/>
      <c r="E325" s="22"/>
      <c r="F325" s="109"/>
      <c r="G325" s="22"/>
      <c r="H325" s="19"/>
      <c r="I325" s="19" t="s">
        <v>1802</v>
      </c>
      <c r="J325" s="22" t="s">
        <v>986</v>
      </c>
      <c r="K325" s="22" t="s">
        <v>986</v>
      </c>
      <c r="L325" s="22" t="s">
        <v>986</v>
      </c>
      <c r="M325" s="22" t="s">
        <v>986</v>
      </c>
      <c r="N325" s="22" t="s">
        <v>986</v>
      </c>
      <c r="O325" s="22" t="s">
        <v>986</v>
      </c>
      <c r="P325" s="21" t="s">
        <v>1997</v>
      </c>
    </row>
    <row r="326" spans="1:16" s="1" customFormat="1">
      <c r="A326" s="19"/>
      <c r="B326" s="20"/>
      <c r="C326" s="20"/>
      <c r="D326" s="21"/>
      <c r="E326" s="22"/>
      <c r="F326" s="109"/>
      <c r="G326" s="22"/>
      <c r="H326" s="19"/>
      <c r="I326" s="19" t="s">
        <v>1264</v>
      </c>
      <c r="J326" s="22" t="s">
        <v>986</v>
      </c>
      <c r="K326" s="22" t="s">
        <v>986</v>
      </c>
      <c r="L326" s="22" t="s">
        <v>986</v>
      </c>
      <c r="M326" s="22" t="s">
        <v>986</v>
      </c>
      <c r="N326" s="22" t="s">
        <v>986</v>
      </c>
      <c r="O326" s="22" t="s">
        <v>986</v>
      </c>
      <c r="P326" s="21" t="s">
        <v>1997</v>
      </c>
    </row>
    <row r="327" spans="1:16" s="1" customFormat="1">
      <c r="A327" s="19"/>
      <c r="B327" s="20"/>
      <c r="C327" s="20"/>
      <c r="D327" s="21"/>
      <c r="E327" s="22"/>
      <c r="F327" s="109"/>
      <c r="G327" s="22"/>
      <c r="H327" s="19"/>
      <c r="I327" s="19" t="s">
        <v>556</v>
      </c>
      <c r="J327" s="22">
        <v>7.3</v>
      </c>
      <c r="K327" s="22">
        <v>0.5</v>
      </c>
      <c r="L327" s="22">
        <v>97</v>
      </c>
      <c r="M327" s="22">
        <v>0.9</v>
      </c>
      <c r="N327" s="22">
        <v>7.1</v>
      </c>
      <c r="O327" s="22">
        <v>0.5</v>
      </c>
      <c r="P327" s="21" t="s">
        <v>1997</v>
      </c>
    </row>
    <row r="328" spans="1:16" s="1" customFormat="1">
      <c r="A328" s="19" t="s">
        <v>632</v>
      </c>
      <c r="B328" s="20" t="s">
        <v>1665</v>
      </c>
      <c r="C328" s="20" t="s">
        <v>1666</v>
      </c>
      <c r="D328" s="21" t="s">
        <v>1866</v>
      </c>
      <c r="E328" s="22">
        <v>1990</v>
      </c>
      <c r="F328" s="109" t="s">
        <v>1625</v>
      </c>
      <c r="G328" s="22" t="s">
        <v>1046</v>
      </c>
      <c r="H328" s="19" t="s">
        <v>1363</v>
      </c>
      <c r="I328" s="19" t="s">
        <v>1996</v>
      </c>
      <c r="J328" s="22">
        <v>1.3</v>
      </c>
      <c r="K328" s="22">
        <v>0.1</v>
      </c>
      <c r="L328" s="22">
        <v>100</v>
      </c>
      <c r="M328" s="22">
        <v>0</v>
      </c>
      <c r="N328" s="22">
        <v>1.3</v>
      </c>
      <c r="O328" s="22" t="s">
        <v>986</v>
      </c>
      <c r="P328" s="21" t="s">
        <v>1680</v>
      </c>
    </row>
    <row r="329" spans="1:16" s="1" customFormat="1">
      <c r="A329" s="19"/>
      <c r="B329" s="20"/>
      <c r="C329" s="20"/>
      <c r="D329" s="21"/>
      <c r="E329" s="22"/>
      <c r="F329" s="109"/>
      <c r="G329" s="22"/>
      <c r="H329" s="19"/>
      <c r="I329" s="19" t="s">
        <v>1485</v>
      </c>
      <c r="J329" s="22">
        <v>2.9</v>
      </c>
      <c r="K329" s="22">
        <v>0.2</v>
      </c>
      <c r="L329" s="22" t="s">
        <v>986</v>
      </c>
      <c r="M329" s="22" t="s">
        <v>986</v>
      </c>
      <c r="N329" s="22" t="s">
        <v>986</v>
      </c>
      <c r="O329" s="22" t="s">
        <v>986</v>
      </c>
      <c r="P329" s="21" t="s">
        <v>1680</v>
      </c>
    </row>
    <row r="330" spans="1:16" s="1" customFormat="1">
      <c r="A330" s="19"/>
      <c r="B330" s="20"/>
      <c r="C330" s="20"/>
      <c r="D330" s="21"/>
      <c r="E330" s="22"/>
      <c r="F330" s="109"/>
      <c r="G330" s="22"/>
      <c r="H330" s="19"/>
      <c r="I330" s="19" t="s">
        <v>1613</v>
      </c>
      <c r="J330" s="22">
        <v>0.6</v>
      </c>
      <c r="K330" s="22" t="s">
        <v>1707</v>
      </c>
      <c r="L330" s="22" t="s">
        <v>986</v>
      </c>
      <c r="M330" s="22" t="s">
        <v>986</v>
      </c>
      <c r="N330" s="22" t="s">
        <v>986</v>
      </c>
      <c r="O330" s="22" t="s">
        <v>986</v>
      </c>
      <c r="P330" s="21" t="s">
        <v>1680</v>
      </c>
    </row>
    <row r="331" spans="1:16" s="1" customFormat="1">
      <c r="A331" s="19"/>
      <c r="B331" s="20"/>
      <c r="C331" s="20"/>
      <c r="D331" s="21"/>
      <c r="E331" s="22"/>
      <c r="F331" s="109"/>
      <c r="G331" s="22"/>
      <c r="H331" s="19"/>
      <c r="I331" s="19" t="s">
        <v>1662</v>
      </c>
      <c r="J331" s="22">
        <v>3.5</v>
      </c>
      <c r="K331" s="22">
        <v>0.2</v>
      </c>
      <c r="L331" s="22">
        <v>99</v>
      </c>
      <c r="M331" s="22">
        <v>0.2</v>
      </c>
      <c r="N331" s="22">
        <f>3.5*0.99</f>
        <v>3.4649999999999999</v>
      </c>
      <c r="O331" s="22" t="s">
        <v>986</v>
      </c>
      <c r="P331" s="21" t="s">
        <v>1680</v>
      </c>
    </row>
    <row r="332" spans="1:16" s="1" customFormat="1">
      <c r="A332" s="19"/>
      <c r="B332" s="20"/>
      <c r="C332" s="20"/>
      <c r="D332" s="21"/>
      <c r="E332" s="22"/>
      <c r="F332" s="109"/>
      <c r="G332" s="22"/>
      <c r="H332" s="19"/>
      <c r="I332" s="19" t="s">
        <v>1331</v>
      </c>
      <c r="J332" s="22">
        <v>2.4</v>
      </c>
      <c r="K332" s="22">
        <v>0.2</v>
      </c>
      <c r="L332" s="22">
        <v>49</v>
      </c>
      <c r="M332" s="22">
        <v>26.8</v>
      </c>
      <c r="N332" s="22">
        <f>2.4*0.49</f>
        <v>1.1759999999999999</v>
      </c>
      <c r="O332" s="22" t="s">
        <v>986</v>
      </c>
      <c r="P332" s="21" t="s">
        <v>1680</v>
      </c>
    </row>
    <row r="333" spans="1:16" s="1" customFormat="1">
      <c r="A333" s="19"/>
      <c r="B333" s="20"/>
      <c r="C333" s="20"/>
      <c r="D333" s="21"/>
      <c r="E333" s="22"/>
      <c r="F333" s="109"/>
      <c r="G333" s="22"/>
      <c r="H333" s="19"/>
      <c r="I333" s="19" t="s">
        <v>1486</v>
      </c>
      <c r="J333" s="22" t="s">
        <v>1708</v>
      </c>
      <c r="K333" s="22" t="s">
        <v>1708</v>
      </c>
      <c r="L333" s="22">
        <v>84</v>
      </c>
      <c r="M333" s="22">
        <v>16</v>
      </c>
      <c r="N333" s="22">
        <f>0.1*0.84</f>
        <v>8.4000000000000005E-2</v>
      </c>
      <c r="O333" s="22" t="s">
        <v>986</v>
      </c>
      <c r="P333" s="21" t="s">
        <v>1680</v>
      </c>
    </row>
    <row r="334" spans="1:16" s="1" customFormat="1">
      <c r="A334" s="19"/>
      <c r="B334" s="20"/>
      <c r="C334" s="20"/>
      <c r="D334" s="21"/>
      <c r="E334" s="22"/>
      <c r="F334" s="109"/>
      <c r="G334" s="22"/>
      <c r="H334" s="19"/>
      <c r="I334" s="19" t="s">
        <v>1694</v>
      </c>
      <c r="J334" s="22">
        <v>0.2</v>
      </c>
      <c r="K334" s="22" t="s">
        <v>1708</v>
      </c>
      <c r="L334" s="22">
        <v>59</v>
      </c>
      <c r="M334" s="22">
        <v>11.7</v>
      </c>
      <c r="N334" s="22">
        <f>0.2*0.59</f>
        <v>0.11799999999999999</v>
      </c>
      <c r="O334" s="22" t="s">
        <v>986</v>
      </c>
      <c r="P334" s="21" t="s">
        <v>1680</v>
      </c>
    </row>
    <row r="335" spans="1:16" s="1" customFormat="1">
      <c r="A335" s="19"/>
      <c r="B335" s="20"/>
      <c r="C335" s="20"/>
      <c r="D335" s="21"/>
      <c r="E335" s="22"/>
      <c r="F335" s="109"/>
      <c r="G335" s="22"/>
      <c r="H335" s="19"/>
      <c r="I335" s="19" t="s">
        <v>1864</v>
      </c>
      <c r="J335" s="22">
        <v>0.7</v>
      </c>
      <c r="K335" s="22">
        <v>0.2</v>
      </c>
      <c r="L335" s="22">
        <v>33</v>
      </c>
      <c r="M335" s="22">
        <v>13.1</v>
      </c>
      <c r="N335" s="22">
        <f>0.7*0.33</f>
        <v>0.23099999999999998</v>
      </c>
      <c r="O335" s="22" t="s">
        <v>986</v>
      </c>
      <c r="P335" s="21" t="s">
        <v>1680</v>
      </c>
    </row>
    <row r="336" spans="1:16" s="1" customFormat="1">
      <c r="A336" s="19"/>
      <c r="B336" s="20"/>
      <c r="C336" s="20"/>
      <c r="D336" s="21"/>
      <c r="E336" s="22"/>
      <c r="F336" s="109"/>
      <c r="G336" s="22"/>
      <c r="H336" s="19"/>
      <c r="I336" s="19" t="s">
        <v>1802</v>
      </c>
      <c r="J336" s="22">
        <v>0.4</v>
      </c>
      <c r="K336" s="22">
        <v>0.4</v>
      </c>
      <c r="L336" s="22">
        <v>0</v>
      </c>
      <c r="M336" s="22">
        <v>0</v>
      </c>
      <c r="N336" s="22">
        <f>0</f>
        <v>0</v>
      </c>
      <c r="O336" s="22" t="s">
        <v>986</v>
      </c>
      <c r="P336" s="21" t="s">
        <v>1680</v>
      </c>
    </row>
    <row r="337" spans="1:16" s="1" customFormat="1">
      <c r="A337" s="19"/>
      <c r="B337" s="20"/>
      <c r="C337" s="20"/>
      <c r="D337" s="21"/>
      <c r="E337" s="22"/>
      <c r="F337" s="109"/>
      <c r="G337" s="22"/>
      <c r="H337" s="19"/>
      <c r="I337" s="19" t="s">
        <v>1264</v>
      </c>
      <c r="J337" s="22" t="s">
        <v>986</v>
      </c>
      <c r="K337" s="22">
        <v>0.6</v>
      </c>
      <c r="L337" s="22">
        <v>26</v>
      </c>
      <c r="M337" s="22">
        <v>11.7</v>
      </c>
      <c r="N337" s="22" t="s">
        <v>986</v>
      </c>
      <c r="O337" s="22" t="s">
        <v>986</v>
      </c>
      <c r="P337" s="21" t="s">
        <v>1680</v>
      </c>
    </row>
    <row r="338" spans="1:16" s="1" customFormat="1">
      <c r="A338" s="19"/>
      <c r="B338" s="20"/>
      <c r="C338" s="20"/>
      <c r="D338" s="21"/>
      <c r="E338" s="22"/>
      <c r="F338" s="109"/>
      <c r="G338" s="22"/>
      <c r="H338" s="19"/>
      <c r="I338" s="19" t="s">
        <v>485</v>
      </c>
      <c r="J338" s="22">
        <v>8.6</v>
      </c>
      <c r="K338" s="22">
        <v>0.8</v>
      </c>
      <c r="L338" s="22">
        <v>72</v>
      </c>
      <c r="M338" s="22">
        <v>8.1999999999999993</v>
      </c>
      <c r="N338" s="22">
        <v>6.2</v>
      </c>
      <c r="O338" s="22">
        <v>0.6</v>
      </c>
      <c r="P338" s="21" t="s">
        <v>1680</v>
      </c>
    </row>
    <row r="339" spans="1:16" s="1" customFormat="1">
      <c r="A339" s="19" t="s">
        <v>632</v>
      </c>
      <c r="B339" s="20" t="s">
        <v>1665</v>
      </c>
      <c r="C339" s="20" t="s">
        <v>1666</v>
      </c>
      <c r="D339" s="21" t="s">
        <v>1866</v>
      </c>
      <c r="E339" s="22">
        <v>1990</v>
      </c>
      <c r="F339" s="109" t="s">
        <v>1625</v>
      </c>
      <c r="G339" s="22" t="s">
        <v>1046</v>
      </c>
      <c r="H339" s="19" t="s">
        <v>1363</v>
      </c>
      <c r="I339" s="19" t="s">
        <v>1996</v>
      </c>
      <c r="J339" s="22">
        <v>3.7</v>
      </c>
      <c r="K339" s="22">
        <v>0.1</v>
      </c>
      <c r="L339" s="22">
        <v>100</v>
      </c>
      <c r="M339" s="22">
        <v>0</v>
      </c>
      <c r="N339" s="22">
        <v>3.7</v>
      </c>
      <c r="O339" s="22" t="s">
        <v>986</v>
      </c>
      <c r="P339" s="21" t="s">
        <v>1706</v>
      </c>
    </row>
    <row r="340" spans="1:16" s="1" customFormat="1">
      <c r="A340" s="19"/>
      <c r="B340" s="20"/>
      <c r="C340" s="20"/>
      <c r="D340" s="21"/>
      <c r="E340" s="22"/>
      <c r="F340" s="109"/>
      <c r="G340" s="22"/>
      <c r="H340" s="19"/>
      <c r="I340" s="19" t="s">
        <v>1485</v>
      </c>
      <c r="J340" s="22">
        <v>2.5</v>
      </c>
      <c r="K340" s="22">
        <v>0.1</v>
      </c>
      <c r="L340" s="22" t="s">
        <v>986</v>
      </c>
      <c r="M340" s="22" t="s">
        <v>986</v>
      </c>
      <c r="N340" s="22" t="s">
        <v>986</v>
      </c>
      <c r="O340" s="22" t="s">
        <v>986</v>
      </c>
      <c r="P340" s="21" t="s">
        <v>1706</v>
      </c>
    </row>
    <row r="341" spans="1:16" s="1" customFormat="1">
      <c r="A341" s="19"/>
      <c r="B341" s="20"/>
      <c r="C341" s="20"/>
      <c r="D341" s="21"/>
      <c r="E341" s="22"/>
      <c r="F341" s="109"/>
      <c r="G341" s="22"/>
      <c r="H341" s="19"/>
      <c r="I341" s="19" t="s">
        <v>1613</v>
      </c>
      <c r="J341" s="22">
        <v>0.2</v>
      </c>
      <c r="K341" s="22">
        <v>0.1</v>
      </c>
      <c r="L341" s="22" t="s">
        <v>986</v>
      </c>
      <c r="M341" s="22" t="s">
        <v>986</v>
      </c>
      <c r="N341" s="22" t="s">
        <v>986</v>
      </c>
      <c r="O341" s="22" t="s">
        <v>986</v>
      </c>
      <c r="P341" s="21" t="s">
        <v>1706</v>
      </c>
    </row>
    <row r="342" spans="1:16" s="1" customFormat="1">
      <c r="A342" s="19"/>
      <c r="B342" s="20"/>
      <c r="C342" s="20"/>
      <c r="D342" s="21"/>
      <c r="E342" s="22"/>
      <c r="F342" s="109"/>
      <c r="G342" s="22"/>
      <c r="H342" s="19"/>
      <c r="I342" s="19" t="s">
        <v>1662</v>
      </c>
      <c r="J342" s="22">
        <v>2.7</v>
      </c>
      <c r="K342" s="22">
        <v>0.1</v>
      </c>
      <c r="L342" s="22">
        <v>99</v>
      </c>
      <c r="M342" s="22">
        <v>0.3</v>
      </c>
      <c r="N342" s="22">
        <f>2.7*0.99</f>
        <v>2.673</v>
      </c>
      <c r="O342" s="22" t="s">
        <v>986</v>
      </c>
      <c r="P342" s="21" t="s">
        <v>1706</v>
      </c>
    </row>
    <row r="343" spans="1:16" s="1" customFormat="1">
      <c r="A343" s="19"/>
      <c r="B343" s="20"/>
      <c r="C343" s="20"/>
      <c r="D343" s="21"/>
      <c r="E343" s="22"/>
      <c r="F343" s="109"/>
      <c r="G343" s="22"/>
      <c r="H343" s="19"/>
      <c r="I343" s="19" t="s">
        <v>1282</v>
      </c>
      <c r="J343" s="22">
        <v>1.7</v>
      </c>
      <c r="K343" s="22">
        <v>0.1</v>
      </c>
      <c r="L343" s="22">
        <v>71</v>
      </c>
      <c r="M343" s="22">
        <v>13</v>
      </c>
      <c r="N343" s="22">
        <f>1.7*0.71</f>
        <v>1.2069999999999999</v>
      </c>
      <c r="O343" s="22" t="s">
        <v>986</v>
      </c>
      <c r="P343" s="21" t="s">
        <v>1706</v>
      </c>
    </row>
    <row r="344" spans="1:16" s="1" customFormat="1">
      <c r="A344" s="19"/>
      <c r="B344" s="20"/>
      <c r="C344" s="20"/>
      <c r="D344" s="21"/>
      <c r="E344" s="22"/>
      <c r="F344" s="109"/>
      <c r="G344" s="22"/>
      <c r="H344" s="19"/>
      <c r="I344" s="19" t="s">
        <v>1486</v>
      </c>
      <c r="J344" s="22">
        <v>0.1</v>
      </c>
      <c r="K344" s="22">
        <v>0.1</v>
      </c>
      <c r="L344" s="22">
        <v>34</v>
      </c>
      <c r="M344" s="22">
        <v>16.100000000000001</v>
      </c>
      <c r="N344" s="22">
        <f>0.1*0.34</f>
        <v>3.4000000000000002E-2</v>
      </c>
      <c r="O344" s="22" t="s">
        <v>986</v>
      </c>
      <c r="P344" s="21" t="s">
        <v>1706</v>
      </c>
    </row>
    <row r="345" spans="1:16" s="1" customFormat="1">
      <c r="A345" s="19"/>
      <c r="B345" s="20"/>
      <c r="C345" s="20"/>
      <c r="D345" s="21"/>
      <c r="E345" s="22"/>
      <c r="F345" s="109"/>
      <c r="G345" s="22"/>
      <c r="H345" s="19"/>
      <c r="I345" s="19" t="s">
        <v>1694</v>
      </c>
      <c r="J345" s="22">
        <v>0.1</v>
      </c>
      <c r="K345" s="22">
        <v>0.1</v>
      </c>
      <c r="L345" s="22">
        <v>33</v>
      </c>
      <c r="M345" s="22">
        <v>14</v>
      </c>
      <c r="N345" s="22">
        <f>0.1*0.33</f>
        <v>3.3000000000000002E-2</v>
      </c>
      <c r="O345" s="22" t="s">
        <v>986</v>
      </c>
      <c r="P345" s="21" t="s">
        <v>1706</v>
      </c>
    </row>
    <row r="346" spans="1:16" s="1" customFormat="1">
      <c r="A346" s="19"/>
      <c r="B346" s="20"/>
      <c r="C346" s="20"/>
      <c r="D346" s="21"/>
      <c r="E346" s="22"/>
      <c r="F346" s="109"/>
      <c r="G346" s="22"/>
      <c r="H346" s="19"/>
      <c r="I346" s="19" t="s">
        <v>1864</v>
      </c>
      <c r="J346" s="22">
        <v>0.7</v>
      </c>
      <c r="K346" s="22">
        <v>0.1</v>
      </c>
      <c r="L346" s="22">
        <v>17</v>
      </c>
      <c r="M346" s="22">
        <v>11.1</v>
      </c>
      <c r="N346" s="22">
        <f>0.7*0.17</f>
        <v>0.11899999999999999</v>
      </c>
      <c r="O346" s="22" t="s">
        <v>986</v>
      </c>
      <c r="P346" s="21" t="s">
        <v>1706</v>
      </c>
    </row>
    <row r="347" spans="1:16" s="1" customFormat="1">
      <c r="A347" s="19"/>
      <c r="B347" s="20"/>
      <c r="C347" s="20"/>
      <c r="D347" s="21"/>
      <c r="E347" s="22"/>
      <c r="F347" s="109"/>
      <c r="G347" s="22"/>
      <c r="H347" s="19"/>
      <c r="I347" s="19" t="s">
        <v>1802</v>
      </c>
      <c r="J347" s="22">
        <v>1</v>
      </c>
      <c r="K347" s="22">
        <v>0.6</v>
      </c>
      <c r="L347" s="22">
        <v>57</v>
      </c>
      <c r="M347" s="22">
        <v>10.7</v>
      </c>
      <c r="N347" s="22">
        <f>1*0.57</f>
        <v>0.56999999999999995</v>
      </c>
      <c r="O347" s="22" t="s">
        <v>986</v>
      </c>
      <c r="P347" s="21" t="s">
        <v>1706</v>
      </c>
    </row>
    <row r="348" spans="1:16" s="1" customFormat="1" ht="14" customHeight="1">
      <c r="A348" s="19"/>
      <c r="B348" s="20"/>
      <c r="C348" s="20"/>
      <c r="D348" s="21"/>
      <c r="E348" s="22"/>
      <c r="F348" s="109"/>
      <c r="G348" s="22"/>
      <c r="H348" s="19"/>
      <c r="I348" s="19" t="s">
        <v>1264</v>
      </c>
      <c r="J348" s="22">
        <v>1.8</v>
      </c>
      <c r="K348" s="22">
        <v>0.6</v>
      </c>
      <c r="L348" s="22">
        <v>40</v>
      </c>
      <c r="M348" s="22">
        <v>10.4</v>
      </c>
      <c r="N348" s="22" t="s">
        <v>986</v>
      </c>
      <c r="O348" s="22" t="s">
        <v>986</v>
      </c>
      <c r="P348" s="21" t="s">
        <v>1706</v>
      </c>
    </row>
    <row r="349" spans="1:16" s="1" customFormat="1" ht="14" thickBot="1">
      <c r="A349" s="19"/>
      <c r="B349" s="20"/>
      <c r="C349" s="20"/>
      <c r="D349" s="21"/>
      <c r="E349" s="22"/>
      <c r="F349" s="109"/>
      <c r="G349" s="22"/>
      <c r="H349" s="19"/>
      <c r="I349" s="38" t="s">
        <v>485</v>
      </c>
      <c r="J349" s="45">
        <v>10</v>
      </c>
      <c r="K349" s="45">
        <v>0.5</v>
      </c>
      <c r="L349" s="45">
        <v>84</v>
      </c>
      <c r="M349" s="45">
        <v>4.9000000000000004</v>
      </c>
      <c r="N349" s="45">
        <v>8.4</v>
      </c>
      <c r="O349" s="45">
        <v>0.4</v>
      </c>
      <c r="P349" s="21" t="s">
        <v>1706</v>
      </c>
    </row>
    <row r="350" spans="1:16" s="1" customFormat="1" ht="15">
      <c r="A350" s="3"/>
      <c r="B350" s="147"/>
      <c r="C350" s="147"/>
      <c r="E350" s="74"/>
      <c r="F350" s="114"/>
      <c r="G350" s="74"/>
      <c r="H350" s="3"/>
      <c r="I350" s="47" t="s">
        <v>1996</v>
      </c>
      <c r="J350" s="51">
        <f t="shared" ref="J350:J360" si="29">ROUND(AVERAGE(J306,J317,J328,J339),1)</f>
        <v>1.8</v>
      </c>
      <c r="K350" s="51">
        <f>ROUND(STDEV(J306,J317,J328,J339),1)</f>
        <v>1.7</v>
      </c>
      <c r="L350" s="51">
        <f>ROUND(AVERAGE(L306,L317,L328,L339),1)</f>
        <v>100</v>
      </c>
      <c r="M350" s="51">
        <f>ROUND(STDEV(L306,L317,L328,L339),1)</f>
        <v>0</v>
      </c>
      <c r="N350" s="51">
        <f>ROUND(AVERAGE(N306,N317,N328,N339),1)</f>
        <v>1.8</v>
      </c>
      <c r="O350" s="52">
        <f>ROUND(STDEV(N306,N317,N328,N339),1)</f>
        <v>1.7</v>
      </c>
    </row>
    <row r="351" spans="1:16" s="1" customFormat="1" ht="15">
      <c r="A351" s="3"/>
      <c r="B351" s="147"/>
      <c r="C351" s="147"/>
      <c r="E351" s="74"/>
      <c r="F351" s="114"/>
      <c r="G351" s="74"/>
      <c r="H351" s="3"/>
      <c r="I351" s="48" t="s">
        <v>1508</v>
      </c>
      <c r="J351" s="53">
        <f t="shared" si="29"/>
        <v>4.2</v>
      </c>
      <c r="K351" s="53">
        <f>ROUND(STDEV(J307,J318,J329,J340),1)</f>
        <v>1.7</v>
      </c>
      <c r="L351" s="53" t="s">
        <v>1398</v>
      </c>
      <c r="M351" s="53" t="s">
        <v>1289</v>
      </c>
      <c r="N351" s="53" t="s">
        <v>1718</v>
      </c>
      <c r="O351" s="54" t="s">
        <v>1398</v>
      </c>
    </row>
    <row r="352" spans="1:16" s="1" customFormat="1" ht="15">
      <c r="A352" s="3"/>
      <c r="B352" s="147"/>
      <c r="C352" s="147"/>
      <c r="E352" s="74"/>
      <c r="F352" s="114"/>
      <c r="G352" s="74"/>
      <c r="H352" s="3"/>
      <c r="I352" s="48" t="s">
        <v>1613</v>
      </c>
      <c r="J352" s="53">
        <f t="shared" si="29"/>
        <v>0.7</v>
      </c>
      <c r="K352" s="53">
        <f>ROUND(STDEV(J308,J319,J330,J341),1)</f>
        <v>0.4</v>
      </c>
      <c r="L352" s="53" t="s">
        <v>1290</v>
      </c>
      <c r="M352" s="53" t="s">
        <v>1398</v>
      </c>
      <c r="N352" s="53" t="s">
        <v>1398</v>
      </c>
      <c r="O352" s="54" t="s">
        <v>1398</v>
      </c>
    </row>
    <row r="353" spans="1:124" s="1" customFormat="1" ht="15">
      <c r="A353" s="3"/>
      <c r="B353" s="147"/>
      <c r="C353" s="147"/>
      <c r="E353" s="74"/>
      <c r="F353" s="114"/>
      <c r="G353" s="74"/>
      <c r="H353" s="3"/>
      <c r="I353" s="48" t="s">
        <v>1662</v>
      </c>
      <c r="J353" s="53">
        <f t="shared" si="29"/>
        <v>4.9000000000000004</v>
      </c>
      <c r="K353" s="53">
        <f>ROUND(STDEV(J309,J320,J331,J342),1)</f>
        <v>2.1</v>
      </c>
      <c r="L353" s="53">
        <f t="shared" ref="L353:L360" si="30">ROUND(AVERAGE(L309,L320,L331,L342),1)</f>
        <v>99</v>
      </c>
      <c r="M353" s="53">
        <f t="shared" ref="M353:M360" si="31">ROUND(STDEV(L309,L320,L331,L342),1)</f>
        <v>0.8</v>
      </c>
      <c r="N353" s="53">
        <f t="shared" ref="N353:N358" si="32">ROUND(AVERAGE(N309,N320,N331,N342),1)</f>
        <v>4.8</v>
      </c>
      <c r="O353" s="54">
        <f t="shared" ref="O353:O358" si="33">ROUND(STDEV(N309,N320,N331,N342),1)</f>
        <v>2.1</v>
      </c>
    </row>
    <row r="354" spans="1:124" s="1" customFormat="1" ht="15">
      <c r="A354" s="3"/>
      <c r="B354" s="147"/>
      <c r="C354" s="147"/>
      <c r="E354" s="74"/>
      <c r="F354" s="114"/>
      <c r="G354" s="74"/>
      <c r="H354" s="3"/>
      <c r="I354" s="48" t="s">
        <v>1282</v>
      </c>
      <c r="J354" s="53">
        <f t="shared" si="29"/>
        <v>1.2</v>
      </c>
      <c r="K354" s="53">
        <f>ROUND(STDEV(J310,J321,J332,J343),1)</f>
        <v>1</v>
      </c>
      <c r="L354" s="53">
        <f t="shared" si="30"/>
        <v>72.8</v>
      </c>
      <c r="M354" s="53">
        <f t="shared" si="31"/>
        <v>20.9</v>
      </c>
      <c r="N354" s="53">
        <f t="shared" si="32"/>
        <v>0.7</v>
      </c>
      <c r="O354" s="54">
        <f t="shared" si="33"/>
        <v>0.5</v>
      </c>
    </row>
    <row r="355" spans="1:124" s="1" customFormat="1" ht="15">
      <c r="A355" s="3"/>
      <c r="B355" s="147"/>
      <c r="C355" s="147"/>
      <c r="E355" s="74"/>
      <c r="F355" s="114"/>
      <c r="G355" s="74"/>
      <c r="H355" s="3"/>
      <c r="I355" s="48" t="s">
        <v>1486</v>
      </c>
      <c r="J355" s="53">
        <f t="shared" si="29"/>
        <v>0.1</v>
      </c>
      <c r="K355" s="53" t="s">
        <v>1398</v>
      </c>
      <c r="L355" s="53">
        <f t="shared" si="30"/>
        <v>59</v>
      </c>
      <c r="M355" s="53">
        <f t="shared" si="31"/>
        <v>35.4</v>
      </c>
      <c r="N355" s="53">
        <f t="shared" si="32"/>
        <v>0.1</v>
      </c>
      <c r="O355" s="54">
        <f t="shared" si="33"/>
        <v>0</v>
      </c>
    </row>
    <row r="356" spans="1:124" s="1" customFormat="1" ht="15">
      <c r="A356" s="3"/>
      <c r="B356" s="147"/>
      <c r="C356" s="147"/>
      <c r="E356" s="74"/>
      <c r="F356" s="114"/>
      <c r="G356" s="74"/>
      <c r="H356" s="3"/>
      <c r="I356" s="48" t="s">
        <v>1311</v>
      </c>
      <c r="J356" s="53">
        <f t="shared" si="29"/>
        <v>0.2</v>
      </c>
      <c r="K356" s="53">
        <f>ROUND(STDEV(J312,J323,J334,J345),1)</f>
        <v>0.1</v>
      </c>
      <c r="L356" s="53">
        <f t="shared" si="30"/>
        <v>46</v>
      </c>
      <c r="M356" s="53">
        <f t="shared" si="31"/>
        <v>18.399999999999999</v>
      </c>
      <c r="N356" s="53">
        <f>ROUND(AVERAGE(N312,N323,N334,N345),1)</f>
        <v>0.1</v>
      </c>
      <c r="O356" s="54">
        <f t="shared" si="33"/>
        <v>0.1</v>
      </c>
    </row>
    <row r="357" spans="1:124" s="1" customFormat="1" ht="15">
      <c r="A357" s="3"/>
      <c r="B357" s="147"/>
      <c r="C357" s="147"/>
      <c r="E357" s="74"/>
      <c r="F357" s="114"/>
      <c r="G357" s="74"/>
      <c r="H357" s="3"/>
      <c r="I357" s="48" t="s">
        <v>1699</v>
      </c>
      <c r="J357" s="53">
        <f t="shared" si="29"/>
        <v>0.7</v>
      </c>
      <c r="K357" s="53">
        <f>ROUND(STDEV(J313,J324,J335,J346),1)</f>
        <v>0</v>
      </c>
      <c r="L357" s="53">
        <f t="shared" si="30"/>
        <v>25</v>
      </c>
      <c r="M357" s="53">
        <f t="shared" si="31"/>
        <v>11.3</v>
      </c>
      <c r="N357" s="53">
        <f t="shared" si="32"/>
        <v>0.2</v>
      </c>
      <c r="O357" s="54">
        <f t="shared" si="33"/>
        <v>0.1</v>
      </c>
    </row>
    <row r="358" spans="1:124" s="1" customFormat="1" ht="15">
      <c r="A358" s="3"/>
      <c r="B358" s="147"/>
      <c r="C358" s="147"/>
      <c r="E358" s="74"/>
      <c r="F358" s="114"/>
      <c r="G358" s="74"/>
      <c r="H358" s="3"/>
      <c r="I358" s="48" t="s">
        <v>1865</v>
      </c>
      <c r="J358" s="53">
        <f t="shared" si="29"/>
        <v>0.7</v>
      </c>
      <c r="K358" s="53">
        <f>ROUND(STDEV(J314,J325,J336,J347),1)</f>
        <v>0.4</v>
      </c>
      <c r="L358" s="53">
        <f t="shared" si="30"/>
        <v>28.5</v>
      </c>
      <c r="M358" s="53">
        <f t="shared" si="31"/>
        <v>40.299999999999997</v>
      </c>
      <c r="N358" s="53">
        <f t="shared" si="32"/>
        <v>0.3</v>
      </c>
      <c r="O358" s="54">
        <f t="shared" si="33"/>
        <v>0.4</v>
      </c>
    </row>
    <row r="359" spans="1:124" s="1" customFormat="1" ht="15">
      <c r="A359" s="3"/>
      <c r="B359" s="147"/>
      <c r="C359" s="147"/>
      <c r="E359" s="74"/>
      <c r="F359" s="114"/>
      <c r="G359" s="74"/>
      <c r="H359" s="3"/>
      <c r="I359" s="48" t="s">
        <v>1158</v>
      </c>
      <c r="J359" s="53">
        <f t="shared" si="29"/>
        <v>1.8</v>
      </c>
      <c r="K359" s="53" t="s">
        <v>1398</v>
      </c>
      <c r="L359" s="53">
        <f t="shared" si="30"/>
        <v>33</v>
      </c>
      <c r="M359" s="53">
        <f t="shared" si="31"/>
        <v>9.9</v>
      </c>
      <c r="N359" s="53" t="s">
        <v>1289</v>
      </c>
      <c r="O359" s="54" t="s">
        <v>1398</v>
      </c>
    </row>
    <row r="360" spans="1:124" s="1" customFormat="1" ht="15">
      <c r="A360" s="3"/>
      <c r="B360" s="147"/>
      <c r="C360" s="147"/>
      <c r="E360" s="74"/>
      <c r="F360" s="114"/>
      <c r="G360" s="74"/>
      <c r="H360" s="57"/>
      <c r="I360" s="48" t="s">
        <v>485</v>
      </c>
      <c r="J360" s="53">
        <f t="shared" si="29"/>
        <v>8.3000000000000007</v>
      </c>
      <c r="K360" s="53">
        <f>ROUND(STDEV(J316,J327,J338,J349),1)</f>
        <v>1.3</v>
      </c>
      <c r="L360" s="53">
        <f t="shared" si="30"/>
        <v>88.3</v>
      </c>
      <c r="M360" s="53">
        <f t="shared" si="31"/>
        <v>12.9</v>
      </c>
      <c r="N360" s="53">
        <f>ROUND(AVERAGE(N316,N327,N338,N349),1)</f>
        <v>7.2</v>
      </c>
      <c r="O360" s="54">
        <f>ROUND(STDEV(N316,N327,N338,N349),1)</f>
        <v>0.9</v>
      </c>
    </row>
    <row r="361" spans="1:124" s="1" customFormat="1" ht="15">
      <c r="A361" s="3"/>
      <c r="B361" s="147"/>
      <c r="C361" s="147"/>
      <c r="E361" s="74"/>
      <c r="F361" s="114"/>
      <c r="G361" s="74"/>
      <c r="H361" s="57"/>
      <c r="I361" s="48" t="s">
        <v>1841</v>
      </c>
      <c r="J361" s="53">
        <f>ROUND(AVERAGE(J316,J327),1)</f>
        <v>7.2</v>
      </c>
      <c r="K361" s="53" t="s">
        <v>1754</v>
      </c>
      <c r="L361" s="53">
        <f>ROUND(AVERAGE(L316,L327),1)</f>
        <v>98.5</v>
      </c>
      <c r="M361" s="53" t="s">
        <v>1754</v>
      </c>
      <c r="N361" s="53">
        <f>ROUND(AVERAGE(N316,N327),1)</f>
        <v>7.1</v>
      </c>
      <c r="O361" s="54" t="s">
        <v>2000</v>
      </c>
    </row>
    <row r="362" spans="1:124" s="1" customFormat="1" ht="16" thickBot="1">
      <c r="A362" s="3"/>
      <c r="B362" s="147"/>
      <c r="C362" s="147"/>
      <c r="E362" s="74"/>
      <c r="F362" s="114"/>
      <c r="G362" s="74"/>
      <c r="H362" s="57"/>
      <c r="I362" s="49" t="s">
        <v>1753</v>
      </c>
      <c r="J362" s="55">
        <f>ROUND(AVERAGE(J338,J349),1)</f>
        <v>9.3000000000000007</v>
      </c>
      <c r="K362" s="55" t="s">
        <v>2000</v>
      </c>
      <c r="L362" s="55">
        <f>ROUND(AVERAGE(L338,L349),1)</f>
        <v>78</v>
      </c>
      <c r="M362" s="55" t="s">
        <v>1978</v>
      </c>
      <c r="N362" s="55">
        <f>ROUND(AVERAGE(N338,N349),1)</f>
        <v>7.3</v>
      </c>
      <c r="O362" s="56" t="s">
        <v>1978</v>
      </c>
    </row>
    <row r="363" spans="1:124" s="58" customFormat="1">
      <c r="A363" s="35"/>
      <c r="B363" s="147"/>
      <c r="C363" s="147"/>
      <c r="D363" s="1"/>
      <c r="E363" s="74"/>
      <c r="F363" s="114"/>
      <c r="G363" s="74"/>
      <c r="H363" s="3"/>
      <c r="I363" s="3"/>
      <c r="J363" s="74"/>
      <c r="K363" s="74"/>
      <c r="L363" s="74"/>
      <c r="M363" s="74"/>
      <c r="N363" s="74"/>
      <c r="O363" s="153"/>
      <c r="P363" s="1"/>
    </row>
    <row r="364" spans="1:124" s="58" customFormat="1">
      <c r="A364" s="289"/>
      <c r="B364" s="290"/>
      <c r="C364" s="290"/>
      <c r="D364" s="291"/>
      <c r="E364" s="292"/>
      <c r="F364" s="302"/>
      <c r="G364" s="292"/>
      <c r="H364" s="293"/>
      <c r="I364" s="293"/>
      <c r="J364" s="292"/>
      <c r="K364" s="292"/>
      <c r="L364" s="292"/>
      <c r="M364" s="292"/>
      <c r="N364" s="292"/>
      <c r="O364" s="303"/>
      <c r="P364" s="291"/>
    </row>
    <row r="365" spans="1:124" s="58" customFormat="1">
      <c r="A365" s="35"/>
      <c r="B365" s="147"/>
      <c r="C365" s="147"/>
      <c r="D365" s="1"/>
      <c r="E365" s="74"/>
      <c r="F365" s="114"/>
      <c r="G365" s="74"/>
      <c r="H365" s="3"/>
      <c r="I365" s="3"/>
      <c r="J365" s="74"/>
      <c r="K365" s="74"/>
      <c r="L365" s="74"/>
      <c r="M365" s="74"/>
      <c r="N365" s="74"/>
      <c r="O365" s="153"/>
      <c r="P365" s="1"/>
    </row>
    <row r="366" spans="1:124" s="26" customFormat="1" ht="15">
      <c r="A366" s="128" t="s">
        <v>1608</v>
      </c>
      <c r="B366" s="20" t="s">
        <v>1609</v>
      </c>
      <c r="C366" s="20" t="s">
        <v>1872</v>
      </c>
      <c r="D366" s="21" t="s">
        <v>1873</v>
      </c>
      <c r="E366" s="22">
        <v>1992</v>
      </c>
      <c r="F366" s="20">
        <v>3</v>
      </c>
      <c r="G366" s="20" t="s">
        <v>1574</v>
      </c>
      <c r="H366" s="19" t="s">
        <v>1363</v>
      </c>
      <c r="I366" s="19" t="s">
        <v>1093</v>
      </c>
      <c r="J366" s="20">
        <v>8.3000000000000007</v>
      </c>
      <c r="K366" s="22" t="s">
        <v>986</v>
      </c>
      <c r="L366" s="20">
        <v>93</v>
      </c>
      <c r="M366" s="22" t="s">
        <v>986</v>
      </c>
      <c r="N366" s="20">
        <v>7.7</v>
      </c>
      <c r="O366" s="22" t="s">
        <v>986</v>
      </c>
      <c r="P366" s="21" t="s">
        <v>1659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</row>
    <row r="367" spans="1:124" s="26" customFormat="1" ht="15">
      <c r="A367" s="128" t="s">
        <v>1608</v>
      </c>
      <c r="B367" s="20" t="s">
        <v>1609</v>
      </c>
      <c r="C367" s="20" t="s">
        <v>1872</v>
      </c>
      <c r="D367" s="21" t="s">
        <v>1873</v>
      </c>
      <c r="E367" s="22">
        <v>1992</v>
      </c>
      <c r="F367" s="20">
        <v>3</v>
      </c>
      <c r="G367" s="20" t="s">
        <v>1574</v>
      </c>
      <c r="H367" s="19" t="s">
        <v>1363</v>
      </c>
      <c r="I367" s="19" t="s">
        <v>1093</v>
      </c>
      <c r="J367" s="20">
        <v>3.5</v>
      </c>
      <c r="K367" s="22" t="s">
        <v>986</v>
      </c>
      <c r="L367" s="20">
        <v>94</v>
      </c>
      <c r="M367" s="22" t="s">
        <v>986</v>
      </c>
      <c r="N367" s="20">
        <v>3.29</v>
      </c>
      <c r="O367" s="22" t="s">
        <v>986</v>
      </c>
      <c r="P367" s="21" t="s">
        <v>1659</v>
      </c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</row>
    <row r="368" spans="1:124" s="26" customFormat="1" ht="15">
      <c r="A368" s="128" t="s">
        <v>1608</v>
      </c>
      <c r="B368" s="20" t="s">
        <v>1609</v>
      </c>
      <c r="C368" s="20" t="s">
        <v>1872</v>
      </c>
      <c r="D368" s="21" t="s">
        <v>1873</v>
      </c>
      <c r="E368" s="22">
        <v>1992</v>
      </c>
      <c r="F368" s="20">
        <v>3</v>
      </c>
      <c r="G368" s="20" t="s">
        <v>1574</v>
      </c>
      <c r="H368" s="19" t="s">
        <v>1363</v>
      </c>
      <c r="I368" s="19" t="s">
        <v>1093</v>
      </c>
      <c r="J368" s="20">
        <v>7.4</v>
      </c>
      <c r="K368" s="22" t="s">
        <v>986</v>
      </c>
      <c r="L368" s="20">
        <v>83</v>
      </c>
      <c r="M368" s="22" t="s">
        <v>986</v>
      </c>
      <c r="N368" s="20">
        <v>6.1</v>
      </c>
      <c r="O368" s="22" t="s">
        <v>986</v>
      </c>
      <c r="P368" s="21" t="s">
        <v>1660</v>
      </c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</row>
    <row r="369" spans="1:124" s="26" customFormat="1" ht="16" thickBot="1">
      <c r="A369" s="128" t="s">
        <v>1608</v>
      </c>
      <c r="B369" s="20" t="s">
        <v>1609</v>
      </c>
      <c r="C369" s="20" t="s">
        <v>1872</v>
      </c>
      <c r="D369" s="21" t="s">
        <v>1873</v>
      </c>
      <c r="E369" s="22">
        <v>1992</v>
      </c>
      <c r="F369" s="20">
        <v>3</v>
      </c>
      <c r="G369" s="20" t="s">
        <v>1574</v>
      </c>
      <c r="H369" s="19" t="s">
        <v>1363</v>
      </c>
      <c r="I369" s="38" t="s">
        <v>1093</v>
      </c>
      <c r="J369" s="158">
        <v>8.5</v>
      </c>
      <c r="K369" s="45" t="s">
        <v>986</v>
      </c>
      <c r="L369" s="158">
        <v>57</v>
      </c>
      <c r="M369" s="45" t="s">
        <v>986</v>
      </c>
      <c r="N369" s="158">
        <v>4.8</v>
      </c>
      <c r="O369" s="45" t="s">
        <v>986</v>
      </c>
      <c r="P369" s="21" t="s">
        <v>1775</v>
      </c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</row>
    <row r="370" spans="1:124" s="26" customFormat="1" ht="16" thickBot="1">
      <c r="A370" s="1"/>
      <c r="B370" s="147"/>
      <c r="C370" s="147"/>
      <c r="D370" s="1"/>
      <c r="E370" s="74"/>
      <c r="F370" s="147"/>
      <c r="G370" s="147"/>
      <c r="H370" s="3"/>
      <c r="I370" s="62" t="s">
        <v>1093</v>
      </c>
      <c r="J370" s="159">
        <f>ROUND(AVERAGE(J366:J369),1)</f>
        <v>6.9</v>
      </c>
      <c r="K370" s="159">
        <f>ROUND(STDEV(J366:J369),1)</f>
        <v>2.2999999999999998</v>
      </c>
      <c r="L370" s="159">
        <f>ROUND(AVERAGE(L366:L369),1)</f>
        <v>81.8</v>
      </c>
      <c r="M370" s="159">
        <f>ROUND(STDEV(L366:L369),1)</f>
        <v>17.2</v>
      </c>
      <c r="N370" s="159">
        <f>ROUND(AVERAGE(N366:N369),1)</f>
        <v>5.5</v>
      </c>
      <c r="O370" s="160">
        <f>ROUND(STDEV(N366:N369),1)</f>
        <v>1.9</v>
      </c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</row>
    <row r="371" spans="1:124" s="58" customFormat="1">
      <c r="A371" s="149"/>
      <c r="B371" s="147"/>
      <c r="C371" s="147"/>
      <c r="D371" s="1"/>
      <c r="E371" s="74"/>
      <c r="F371" s="147"/>
      <c r="G371" s="147"/>
      <c r="H371" s="3"/>
      <c r="I371" s="3"/>
      <c r="J371" s="147"/>
      <c r="K371" s="147"/>
      <c r="L371" s="147"/>
      <c r="M371" s="147"/>
      <c r="N371" s="147"/>
      <c r="O371" s="147"/>
      <c r="P371" s="1"/>
    </row>
    <row r="372" spans="1:124" s="58" customFormat="1">
      <c r="A372" s="304"/>
      <c r="B372" s="290"/>
      <c r="C372" s="290"/>
      <c r="D372" s="291"/>
      <c r="E372" s="292"/>
      <c r="F372" s="290"/>
      <c r="G372" s="290"/>
      <c r="H372" s="293"/>
      <c r="I372" s="293"/>
      <c r="J372" s="290"/>
      <c r="K372" s="290"/>
      <c r="L372" s="290"/>
      <c r="M372" s="290"/>
      <c r="N372" s="290"/>
      <c r="O372" s="290"/>
      <c r="P372" s="291"/>
    </row>
    <row r="373" spans="1:124" s="58" customFormat="1">
      <c r="A373" s="149"/>
      <c r="B373" s="147"/>
      <c r="C373" s="147"/>
      <c r="D373" s="1"/>
      <c r="E373" s="74"/>
      <c r="F373" s="147"/>
      <c r="G373" s="147"/>
      <c r="H373" s="3"/>
      <c r="I373" s="3"/>
      <c r="J373" s="147"/>
      <c r="K373" s="147"/>
      <c r="L373" s="147"/>
      <c r="M373" s="147"/>
      <c r="N373" s="147"/>
      <c r="O373" s="147"/>
      <c r="P373" s="1"/>
    </row>
    <row r="374" spans="1:124" s="26" customFormat="1" ht="15">
      <c r="A374" s="128" t="s">
        <v>1874</v>
      </c>
      <c r="B374" s="155" t="s">
        <v>1875</v>
      </c>
      <c r="C374" s="155" t="s">
        <v>1876</v>
      </c>
      <c r="D374" s="128" t="s">
        <v>1676</v>
      </c>
      <c r="E374" s="129">
        <v>1992</v>
      </c>
      <c r="F374" s="155" t="s">
        <v>1677</v>
      </c>
      <c r="G374" s="155" t="s">
        <v>1677</v>
      </c>
      <c r="H374" s="131" t="s">
        <v>1363</v>
      </c>
      <c r="I374" s="131" t="s">
        <v>1878</v>
      </c>
      <c r="J374" s="155">
        <v>7.2</v>
      </c>
      <c r="K374" s="129" t="s">
        <v>1677</v>
      </c>
      <c r="L374" s="155">
        <v>86</v>
      </c>
      <c r="M374" s="129" t="s">
        <v>1677</v>
      </c>
      <c r="N374" s="155">
        <v>6.2</v>
      </c>
      <c r="O374" s="129" t="s">
        <v>1677</v>
      </c>
      <c r="P374" s="128" t="s">
        <v>1566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</row>
    <row r="375" spans="1:124" s="26" customFormat="1" ht="16" thickBot="1">
      <c r="A375" s="128" t="s">
        <v>1874</v>
      </c>
      <c r="B375" s="155" t="s">
        <v>1875</v>
      </c>
      <c r="C375" s="155" t="s">
        <v>1876</v>
      </c>
      <c r="D375" s="128" t="s">
        <v>1678</v>
      </c>
      <c r="E375" s="129">
        <v>1994</v>
      </c>
      <c r="F375" s="155" t="s">
        <v>986</v>
      </c>
      <c r="G375" s="155" t="s">
        <v>986</v>
      </c>
      <c r="H375" s="131" t="s">
        <v>1363</v>
      </c>
      <c r="I375" s="161" t="s">
        <v>1398</v>
      </c>
      <c r="J375" s="162">
        <v>9.4</v>
      </c>
      <c r="K375" s="136" t="s">
        <v>1677</v>
      </c>
      <c r="L375" s="162">
        <v>93</v>
      </c>
      <c r="M375" s="136" t="s">
        <v>1677</v>
      </c>
      <c r="N375" s="162">
        <v>8.8000000000000007</v>
      </c>
      <c r="O375" s="136" t="s">
        <v>1677</v>
      </c>
      <c r="P375" s="128" t="s">
        <v>1679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</row>
    <row r="376" spans="1:124" s="26" customFormat="1" ht="16" thickBot="1">
      <c r="A376" s="103"/>
      <c r="B376" s="151"/>
      <c r="C376" s="151"/>
      <c r="D376" s="103"/>
      <c r="E376" s="104"/>
      <c r="F376" s="151"/>
      <c r="G376" s="151"/>
      <c r="H376" s="107"/>
      <c r="I376" s="163" t="s">
        <v>323</v>
      </c>
      <c r="J376" s="243">
        <f>AVERAGE(J374:J375)</f>
        <v>8.3000000000000007</v>
      </c>
      <c r="K376" s="243" t="s">
        <v>1826</v>
      </c>
      <c r="L376" s="243">
        <f>AVERAGE(L374:L375)</f>
        <v>89.5</v>
      </c>
      <c r="M376" s="243" t="s">
        <v>1826</v>
      </c>
      <c r="N376" s="243">
        <f>AVERAGE(N374:N375)</f>
        <v>7.5</v>
      </c>
      <c r="O376" s="244" t="s">
        <v>1826</v>
      </c>
      <c r="P376" s="10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</row>
    <row r="377" spans="1:124" s="58" customFormat="1" ht="15">
      <c r="A377" s="150"/>
      <c r="B377" s="151"/>
      <c r="C377" s="151"/>
      <c r="D377" s="103"/>
      <c r="E377" s="104"/>
      <c r="F377" s="151"/>
      <c r="G377" s="151"/>
      <c r="H377" s="107"/>
      <c r="I377" s="107"/>
      <c r="J377" s="151"/>
      <c r="K377" s="104"/>
      <c r="L377" s="151"/>
      <c r="M377" s="104"/>
      <c r="N377" s="151"/>
      <c r="O377" s="104"/>
      <c r="P377" s="103"/>
    </row>
    <row r="378" spans="1:124" s="58" customFormat="1" ht="15">
      <c r="A378" s="305"/>
      <c r="B378" s="306"/>
      <c r="C378" s="306"/>
      <c r="D378" s="307"/>
      <c r="E378" s="308"/>
      <c r="F378" s="306"/>
      <c r="G378" s="306"/>
      <c r="H378" s="309"/>
      <c r="I378" s="309"/>
      <c r="J378" s="306"/>
      <c r="K378" s="308"/>
      <c r="L378" s="306"/>
      <c r="M378" s="308"/>
      <c r="N378" s="306"/>
      <c r="O378" s="308"/>
      <c r="P378" s="307"/>
    </row>
    <row r="379" spans="1:124" s="58" customFormat="1" ht="15">
      <c r="A379" s="150"/>
      <c r="B379" s="151"/>
      <c r="C379" s="151"/>
      <c r="D379" s="103"/>
      <c r="E379" s="104"/>
      <c r="F379" s="151"/>
      <c r="G379" s="151"/>
      <c r="H379" s="107"/>
      <c r="I379" s="107"/>
      <c r="J379" s="151"/>
      <c r="K379" s="104"/>
      <c r="L379" s="151"/>
      <c r="M379" s="104"/>
      <c r="N379" s="151"/>
      <c r="O379" s="104"/>
      <c r="P379" s="103"/>
    </row>
    <row r="380" spans="1:124">
      <c r="A380" s="19" t="s">
        <v>1764</v>
      </c>
      <c r="B380" s="20" t="s">
        <v>1665</v>
      </c>
      <c r="C380" s="20" t="s">
        <v>1666</v>
      </c>
      <c r="D380" s="21" t="s">
        <v>1765</v>
      </c>
      <c r="E380" s="22">
        <v>1993</v>
      </c>
      <c r="F380" s="22">
        <v>10</v>
      </c>
      <c r="G380" s="22">
        <v>7</v>
      </c>
      <c r="H380" s="19" t="s">
        <v>1363</v>
      </c>
      <c r="I380" s="19" t="s">
        <v>544</v>
      </c>
      <c r="J380" s="22">
        <v>0.6</v>
      </c>
      <c r="K380" s="22">
        <v>0.1</v>
      </c>
      <c r="L380" s="22">
        <v>100</v>
      </c>
      <c r="M380" s="22">
        <v>0</v>
      </c>
      <c r="N380" s="22">
        <v>0.6</v>
      </c>
      <c r="O380" s="22" t="s">
        <v>986</v>
      </c>
      <c r="P380" s="21" t="s">
        <v>1842</v>
      </c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  <c r="CG380" s="58"/>
      <c r="CH380" s="58"/>
      <c r="CI380" s="58"/>
      <c r="CJ380" s="58"/>
      <c r="CK380" s="58"/>
      <c r="CL380" s="58"/>
      <c r="CM380" s="58"/>
      <c r="CN380" s="58"/>
      <c r="CO380" s="58"/>
      <c r="CP380" s="58"/>
      <c r="CQ380" s="58"/>
      <c r="CR380" s="58"/>
      <c r="CS380" s="58"/>
      <c r="CT380" s="58"/>
      <c r="CU380" s="58"/>
      <c r="CV380" s="58"/>
      <c r="CW380" s="58"/>
      <c r="CX380" s="58"/>
      <c r="CY380" s="58"/>
      <c r="CZ380" s="58"/>
      <c r="DA380" s="58"/>
      <c r="DB380" s="58"/>
      <c r="DC380" s="58"/>
      <c r="DD380" s="58"/>
      <c r="DE380" s="58"/>
      <c r="DF380" s="58"/>
      <c r="DG380" s="58"/>
      <c r="DH380" s="58"/>
      <c r="DI380" s="58"/>
      <c r="DJ380" s="58"/>
      <c r="DK380" s="58"/>
      <c r="DL380" s="58"/>
      <c r="DM380" s="58"/>
      <c r="DN380" s="58"/>
      <c r="DO380" s="58"/>
      <c r="DP380" s="58"/>
      <c r="DQ380" s="58"/>
      <c r="DR380" s="58"/>
      <c r="DS380" s="58"/>
      <c r="DT380" s="58"/>
    </row>
    <row r="381" spans="1:124">
      <c r="A381" s="19"/>
      <c r="B381" s="20"/>
      <c r="C381" s="20"/>
      <c r="D381" s="21"/>
      <c r="E381" s="22"/>
      <c r="F381" s="22"/>
      <c r="G381" s="22"/>
      <c r="H381" s="19"/>
      <c r="I381" s="19" t="s">
        <v>1843</v>
      </c>
      <c r="J381" s="22">
        <v>1</v>
      </c>
      <c r="K381" s="22">
        <v>0.1</v>
      </c>
      <c r="L381" s="22">
        <v>100</v>
      </c>
      <c r="M381" s="22">
        <v>0</v>
      </c>
      <c r="N381" s="22">
        <v>1</v>
      </c>
      <c r="O381" s="22" t="s">
        <v>986</v>
      </c>
      <c r="P381" s="21" t="s">
        <v>1842</v>
      </c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8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8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8"/>
      <c r="DM381" s="58"/>
      <c r="DN381" s="58"/>
      <c r="DO381" s="58"/>
      <c r="DP381" s="58"/>
      <c r="DQ381" s="58"/>
      <c r="DR381" s="58"/>
      <c r="DS381" s="58"/>
      <c r="DT381" s="58"/>
    </row>
    <row r="382" spans="1:124">
      <c r="A382" s="19"/>
      <c r="B382" s="20"/>
      <c r="C382" s="20"/>
      <c r="D382" s="21"/>
      <c r="E382" s="22"/>
      <c r="F382" s="22"/>
      <c r="G382" s="22"/>
      <c r="H382" s="19"/>
      <c r="I382" s="19" t="s">
        <v>1694</v>
      </c>
      <c r="J382" s="22" t="s">
        <v>986</v>
      </c>
      <c r="K382" s="22" t="s">
        <v>986</v>
      </c>
      <c r="L382" s="22" t="s">
        <v>986</v>
      </c>
      <c r="M382" s="22" t="s">
        <v>986</v>
      </c>
      <c r="N382" s="22" t="s">
        <v>986</v>
      </c>
      <c r="O382" s="22" t="s">
        <v>986</v>
      </c>
      <c r="P382" s="21" t="s">
        <v>1842</v>
      </c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  <c r="CG382" s="58"/>
      <c r="CH382" s="58"/>
      <c r="CI382" s="58"/>
      <c r="CJ382" s="58"/>
      <c r="CK382" s="58"/>
      <c r="CL382" s="58"/>
      <c r="CM382" s="58"/>
      <c r="CN382" s="58"/>
      <c r="CO382" s="58"/>
      <c r="CP382" s="58"/>
      <c r="CQ382" s="58"/>
      <c r="CR382" s="58"/>
      <c r="CS382" s="58"/>
      <c r="CT382" s="58"/>
      <c r="CU382" s="58"/>
      <c r="CV382" s="58"/>
      <c r="CW382" s="58"/>
      <c r="CX382" s="58"/>
      <c r="CY382" s="58"/>
      <c r="CZ382" s="58"/>
      <c r="DA382" s="58"/>
      <c r="DB382" s="58"/>
      <c r="DC382" s="58"/>
      <c r="DD382" s="58"/>
      <c r="DE382" s="58"/>
      <c r="DF382" s="58"/>
      <c r="DG382" s="58"/>
      <c r="DH382" s="58"/>
      <c r="DI382" s="58"/>
      <c r="DJ382" s="58"/>
      <c r="DK382" s="58"/>
      <c r="DL382" s="58"/>
      <c r="DM382" s="58"/>
      <c r="DN382" s="58"/>
      <c r="DO382" s="58"/>
      <c r="DP382" s="58"/>
      <c r="DQ382" s="58"/>
      <c r="DR382" s="58"/>
      <c r="DS382" s="58"/>
      <c r="DT382" s="58"/>
    </row>
    <row r="383" spans="1:124" s="146" customFormat="1">
      <c r="A383" s="19"/>
      <c r="B383" s="20"/>
      <c r="C383" s="20"/>
      <c r="D383" s="21"/>
      <c r="E383" s="22"/>
      <c r="F383" s="22"/>
      <c r="G383" s="22"/>
      <c r="H383" s="19"/>
      <c r="I383" s="19" t="s">
        <v>1500</v>
      </c>
      <c r="J383" s="22" t="s">
        <v>986</v>
      </c>
      <c r="K383" s="22" t="s">
        <v>986</v>
      </c>
      <c r="L383" s="22" t="s">
        <v>986</v>
      </c>
      <c r="M383" s="22" t="s">
        <v>986</v>
      </c>
      <c r="N383" s="22" t="s">
        <v>986</v>
      </c>
      <c r="O383" s="22" t="s">
        <v>986</v>
      </c>
      <c r="P383" s="21" t="s">
        <v>1842</v>
      </c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  <c r="CG383" s="58"/>
      <c r="CH383" s="58"/>
      <c r="CI383" s="58"/>
      <c r="CJ383" s="58"/>
      <c r="CK383" s="58"/>
      <c r="CL383" s="58"/>
      <c r="CM383" s="58"/>
      <c r="CN383" s="58"/>
      <c r="CO383" s="58"/>
      <c r="CP383" s="58"/>
      <c r="CQ383" s="58"/>
      <c r="CR383" s="58"/>
      <c r="CS383" s="58"/>
      <c r="CT383" s="58"/>
      <c r="CU383" s="58"/>
      <c r="CV383" s="58"/>
      <c r="CW383" s="58"/>
      <c r="CX383" s="58"/>
      <c r="CY383" s="58"/>
      <c r="CZ383" s="58"/>
      <c r="DA383" s="58"/>
      <c r="DB383" s="58"/>
      <c r="DC383" s="58"/>
      <c r="DD383" s="58"/>
      <c r="DE383" s="58"/>
      <c r="DF383" s="58"/>
      <c r="DG383" s="58"/>
      <c r="DH383" s="58"/>
      <c r="DI383" s="58"/>
      <c r="DJ383" s="58"/>
      <c r="DK383" s="58"/>
      <c r="DL383" s="58"/>
      <c r="DM383" s="58"/>
      <c r="DN383" s="58"/>
      <c r="DO383" s="58"/>
      <c r="DP383" s="58"/>
      <c r="DQ383" s="58"/>
      <c r="DR383" s="58"/>
      <c r="DS383" s="58"/>
      <c r="DT383" s="58"/>
    </row>
    <row r="384" spans="1:124">
      <c r="A384" s="19"/>
      <c r="B384" s="20"/>
      <c r="C384" s="20"/>
      <c r="D384" s="21"/>
      <c r="E384" s="22"/>
      <c r="F384" s="22"/>
      <c r="G384" s="22"/>
      <c r="H384" s="19"/>
      <c r="I384" s="19" t="s">
        <v>1802</v>
      </c>
      <c r="J384" s="22" t="s">
        <v>986</v>
      </c>
      <c r="K384" s="22" t="s">
        <v>986</v>
      </c>
      <c r="L384" s="22" t="s">
        <v>986</v>
      </c>
      <c r="M384" s="22" t="s">
        <v>986</v>
      </c>
      <c r="N384" s="22" t="s">
        <v>986</v>
      </c>
      <c r="O384" s="22" t="s">
        <v>986</v>
      </c>
      <c r="P384" s="21" t="s">
        <v>1842</v>
      </c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  <c r="CG384" s="58"/>
      <c r="CH384" s="58"/>
      <c r="CI384" s="58"/>
      <c r="CJ384" s="58"/>
      <c r="CK384" s="58"/>
      <c r="CL384" s="58"/>
      <c r="CM384" s="58"/>
      <c r="CN384" s="58"/>
      <c r="CO384" s="58"/>
      <c r="CP384" s="58"/>
      <c r="CQ384" s="58"/>
      <c r="CR384" s="58"/>
      <c r="CS384" s="58"/>
      <c r="CT384" s="58"/>
      <c r="CU384" s="58"/>
      <c r="CV384" s="58"/>
      <c r="CW384" s="58"/>
      <c r="CX384" s="58"/>
      <c r="CY384" s="58"/>
      <c r="CZ384" s="58"/>
      <c r="DA384" s="58"/>
      <c r="DB384" s="58"/>
      <c r="DC384" s="58"/>
      <c r="DD384" s="58"/>
      <c r="DE384" s="58"/>
      <c r="DF384" s="58"/>
      <c r="DG384" s="58"/>
      <c r="DH384" s="58"/>
      <c r="DI384" s="58"/>
      <c r="DJ384" s="58"/>
      <c r="DK384" s="58"/>
      <c r="DL384" s="58"/>
      <c r="DM384" s="58"/>
      <c r="DN384" s="58"/>
      <c r="DO384" s="58"/>
      <c r="DP384" s="58"/>
      <c r="DQ384" s="58"/>
      <c r="DR384" s="58"/>
      <c r="DS384" s="58"/>
      <c r="DT384" s="58"/>
    </row>
    <row r="385" spans="1:124">
      <c r="A385" s="19"/>
      <c r="B385" s="20"/>
      <c r="C385" s="20"/>
      <c r="D385" s="21"/>
      <c r="E385" s="22"/>
      <c r="F385" s="22"/>
      <c r="G385" s="22"/>
      <c r="H385" s="19"/>
      <c r="I385" s="19" t="s">
        <v>1844</v>
      </c>
      <c r="J385" s="22" t="s">
        <v>986</v>
      </c>
      <c r="K385" s="22" t="s">
        <v>986</v>
      </c>
      <c r="L385" s="22" t="s">
        <v>986</v>
      </c>
      <c r="M385" s="22" t="s">
        <v>986</v>
      </c>
      <c r="N385" s="22" t="s">
        <v>986</v>
      </c>
      <c r="O385" s="22" t="s">
        <v>986</v>
      </c>
      <c r="P385" s="21" t="s">
        <v>1842</v>
      </c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  <c r="CG385" s="58"/>
      <c r="CH385" s="58"/>
      <c r="CI385" s="58"/>
      <c r="CJ385" s="58"/>
      <c r="CK385" s="58"/>
      <c r="CL385" s="58"/>
      <c r="CM385" s="58"/>
      <c r="CN385" s="58"/>
      <c r="CO385" s="58"/>
      <c r="CP385" s="58"/>
      <c r="CQ385" s="58"/>
      <c r="CR385" s="58"/>
      <c r="CS385" s="58"/>
      <c r="CT385" s="58"/>
      <c r="CU385" s="58"/>
      <c r="CV385" s="58"/>
      <c r="CW385" s="58"/>
      <c r="CX385" s="58"/>
      <c r="CY385" s="58"/>
      <c r="CZ385" s="58"/>
      <c r="DA385" s="58"/>
      <c r="DB385" s="58"/>
      <c r="DC385" s="58"/>
      <c r="DD385" s="58"/>
      <c r="DE385" s="58"/>
      <c r="DF385" s="58"/>
      <c r="DG385" s="58"/>
      <c r="DH385" s="58"/>
      <c r="DI385" s="58"/>
      <c r="DJ385" s="58"/>
      <c r="DK385" s="58"/>
      <c r="DL385" s="58"/>
      <c r="DM385" s="58"/>
      <c r="DN385" s="58"/>
      <c r="DO385" s="58"/>
      <c r="DP385" s="58"/>
      <c r="DQ385" s="58"/>
      <c r="DR385" s="58"/>
      <c r="DS385" s="58"/>
      <c r="DT385" s="58"/>
    </row>
    <row r="386" spans="1:124" s="146" customFormat="1">
      <c r="A386" s="19"/>
      <c r="B386" s="20"/>
      <c r="C386" s="20"/>
      <c r="D386" s="21"/>
      <c r="E386" s="22"/>
      <c r="F386" s="22"/>
      <c r="G386" s="22"/>
      <c r="H386" s="19"/>
      <c r="I386" s="19" t="s">
        <v>1845</v>
      </c>
      <c r="J386" s="22">
        <v>6</v>
      </c>
      <c r="K386" s="22">
        <v>0</v>
      </c>
      <c r="L386" s="22">
        <v>92</v>
      </c>
      <c r="M386" s="22">
        <v>5</v>
      </c>
      <c r="N386" s="22">
        <v>5.0999999999999996</v>
      </c>
      <c r="O386" s="22" t="s">
        <v>986</v>
      </c>
      <c r="P386" s="21" t="s">
        <v>1842</v>
      </c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  <c r="CG386" s="58"/>
      <c r="CH386" s="58"/>
      <c r="CI386" s="58"/>
      <c r="CJ386" s="58"/>
      <c r="CK386" s="58"/>
      <c r="CL386" s="58"/>
      <c r="CM386" s="58"/>
      <c r="CN386" s="58"/>
      <c r="CO386" s="58"/>
      <c r="CP386" s="58"/>
      <c r="CQ386" s="58"/>
      <c r="CR386" s="58"/>
      <c r="CS386" s="58"/>
      <c r="CT386" s="58"/>
      <c r="CU386" s="58"/>
      <c r="CV386" s="58"/>
      <c r="CW386" s="58"/>
      <c r="CX386" s="58"/>
      <c r="CY386" s="58"/>
      <c r="CZ386" s="58"/>
      <c r="DA386" s="58"/>
      <c r="DB386" s="58"/>
      <c r="DC386" s="58"/>
      <c r="DD386" s="58"/>
      <c r="DE386" s="58"/>
      <c r="DF386" s="58"/>
      <c r="DG386" s="58"/>
      <c r="DH386" s="58"/>
      <c r="DI386" s="58"/>
      <c r="DJ386" s="58"/>
      <c r="DK386" s="58"/>
      <c r="DL386" s="58"/>
      <c r="DM386" s="58"/>
      <c r="DN386" s="58"/>
      <c r="DO386" s="58"/>
      <c r="DP386" s="58"/>
      <c r="DQ386" s="58"/>
      <c r="DR386" s="58"/>
      <c r="DS386" s="58"/>
      <c r="DT386" s="58"/>
    </row>
    <row r="387" spans="1:124" s="146" customFormat="1">
      <c r="A387" s="19"/>
      <c r="B387" s="20"/>
      <c r="C387" s="20"/>
      <c r="D387" s="21"/>
      <c r="E387" s="22"/>
      <c r="F387" s="22"/>
      <c r="G387" s="22"/>
      <c r="H387" s="19"/>
      <c r="I387" s="19" t="s">
        <v>1846</v>
      </c>
      <c r="J387" s="22" t="s">
        <v>986</v>
      </c>
      <c r="K387" s="22" t="s">
        <v>986</v>
      </c>
      <c r="L387" s="22" t="s">
        <v>986</v>
      </c>
      <c r="M387" s="22" t="s">
        <v>986</v>
      </c>
      <c r="N387" s="22" t="s">
        <v>986</v>
      </c>
      <c r="O387" s="22" t="s">
        <v>986</v>
      </c>
      <c r="P387" s="21" t="s">
        <v>1842</v>
      </c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  <c r="CG387" s="58"/>
      <c r="CH387" s="58"/>
      <c r="CI387" s="58"/>
      <c r="CJ387" s="58"/>
      <c r="CK387" s="58"/>
      <c r="CL387" s="58"/>
      <c r="CM387" s="58"/>
      <c r="CN387" s="58"/>
      <c r="CO387" s="58"/>
      <c r="CP387" s="58"/>
      <c r="CQ387" s="58"/>
      <c r="CR387" s="58"/>
      <c r="CS387" s="58"/>
      <c r="CT387" s="58"/>
      <c r="CU387" s="58"/>
      <c r="CV387" s="58"/>
      <c r="CW387" s="58"/>
      <c r="CX387" s="58"/>
      <c r="CY387" s="58"/>
      <c r="CZ387" s="58"/>
      <c r="DA387" s="58"/>
      <c r="DB387" s="58"/>
      <c r="DC387" s="58"/>
      <c r="DD387" s="58"/>
      <c r="DE387" s="58"/>
      <c r="DF387" s="58"/>
      <c r="DG387" s="58"/>
      <c r="DH387" s="58"/>
      <c r="DI387" s="58"/>
      <c r="DJ387" s="58"/>
      <c r="DK387" s="58"/>
      <c r="DL387" s="58"/>
      <c r="DM387" s="58"/>
      <c r="DN387" s="58"/>
      <c r="DO387" s="58"/>
      <c r="DP387" s="58"/>
      <c r="DQ387" s="58"/>
      <c r="DR387" s="58"/>
      <c r="DS387" s="58"/>
      <c r="DT387" s="58"/>
    </row>
    <row r="388" spans="1:124" s="146" customFormat="1">
      <c r="A388" s="19"/>
      <c r="B388" s="20"/>
      <c r="C388" s="20"/>
      <c r="D388" s="21"/>
      <c r="E388" s="22"/>
      <c r="F388" s="22"/>
      <c r="G388" s="22"/>
      <c r="H388" s="19"/>
      <c r="I388" s="19" t="s">
        <v>485</v>
      </c>
      <c r="J388" s="22">
        <v>5.5</v>
      </c>
      <c r="K388" s="22">
        <v>0</v>
      </c>
      <c r="L388" s="22">
        <v>92</v>
      </c>
      <c r="M388" s="22">
        <v>5</v>
      </c>
      <c r="N388" s="22">
        <v>5.0999999999999996</v>
      </c>
      <c r="O388" s="22" t="s">
        <v>986</v>
      </c>
      <c r="P388" s="21" t="s">
        <v>1842</v>
      </c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8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8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8"/>
      <c r="DM388" s="58"/>
      <c r="DN388" s="58"/>
      <c r="DO388" s="58"/>
      <c r="DP388" s="58"/>
      <c r="DQ388" s="58"/>
      <c r="DR388" s="58"/>
      <c r="DS388" s="58"/>
      <c r="DT388" s="58"/>
    </row>
    <row r="389" spans="1:124">
      <c r="A389" s="19" t="s">
        <v>1764</v>
      </c>
      <c r="B389" s="20" t="s">
        <v>1665</v>
      </c>
      <c r="C389" s="20" t="s">
        <v>1666</v>
      </c>
      <c r="D389" s="21" t="s">
        <v>1765</v>
      </c>
      <c r="E389" s="22">
        <v>1993</v>
      </c>
      <c r="F389" s="22">
        <v>8</v>
      </c>
      <c r="G389" s="22">
        <v>17</v>
      </c>
      <c r="H389" s="19" t="s">
        <v>1363</v>
      </c>
      <c r="I389" s="19" t="s">
        <v>544</v>
      </c>
      <c r="J389" s="22">
        <v>1.9</v>
      </c>
      <c r="K389" s="22">
        <v>0.3</v>
      </c>
      <c r="L389" s="22">
        <v>100</v>
      </c>
      <c r="M389" s="22">
        <v>0</v>
      </c>
      <c r="N389" s="22">
        <v>1.9</v>
      </c>
      <c r="O389" s="22" t="s">
        <v>986</v>
      </c>
      <c r="P389" s="21" t="s">
        <v>1557</v>
      </c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  <c r="CG389" s="58"/>
      <c r="CH389" s="58"/>
      <c r="CI389" s="58"/>
      <c r="CJ389" s="58"/>
      <c r="CK389" s="58"/>
      <c r="CL389" s="58"/>
      <c r="CM389" s="58"/>
      <c r="CN389" s="58"/>
      <c r="CO389" s="58"/>
      <c r="CP389" s="58"/>
      <c r="CQ389" s="58"/>
      <c r="CR389" s="58"/>
      <c r="CS389" s="58"/>
      <c r="CT389" s="58"/>
      <c r="CU389" s="58"/>
      <c r="CV389" s="58"/>
      <c r="CW389" s="58"/>
      <c r="CX389" s="58"/>
      <c r="CY389" s="58"/>
      <c r="CZ389" s="58"/>
      <c r="DA389" s="58"/>
      <c r="DB389" s="58"/>
      <c r="DC389" s="58"/>
      <c r="DD389" s="58"/>
      <c r="DE389" s="58"/>
      <c r="DF389" s="58"/>
      <c r="DG389" s="58"/>
      <c r="DH389" s="58"/>
      <c r="DI389" s="58"/>
      <c r="DJ389" s="58"/>
      <c r="DK389" s="58"/>
      <c r="DL389" s="58"/>
      <c r="DM389" s="58"/>
      <c r="DN389" s="58"/>
      <c r="DO389" s="58"/>
      <c r="DP389" s="58"/>
      <c r="DQ389" s="58"/>
      <c r="DR389" s="58"/>
      <c r="DS389" s="58"/>
      <c r="DT389" s="58"/>
    </row>
    <row r="390" spans="1:124">
      <c r="A390" s="19"/>
      <c r="B390" s="20"/>
      <c r="C390" s="20"/>
      <c r="D390" s="21"/>
      <c r="E390" s="22"/>
      <c r="F390" s="22"/>
      <c r="G390" s="22"/>
      <c r="H390" s="19"/>
      <c r="I390" s="19" t="s">
        <v>1649</v>
      </c>
      <c r="J390" s="22">
        <v>0.1</v>
      </c>
      <c r="K390" s="22">
        <v>0</v>
      </c>
      <c r="L390" s="22">
        <v>89.3</v>
      </c>
      <c r="M390" s="22">
        <v>0</v>
      </c>
      <c r="N390" s="22">
        <f>J390*(L390/100)</f>
        <v>8.9300000000000004E-2</v>
      </c>
      <c r="O390" s="22" t="s">
        <v>986</v>
      </c>
      <c r="P390" s="21" t="s">
        <v>1557</v>
      </c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  <c r="CG390" s="58"/>
      <c r="CH390" s="58"/>
      <c r="CI390" s="58"/>
      <c r="CJ390" s="58"/>
      <c r="CK390" s="58"/>
      <c r="CL390" s="58"/>
      <c r="CM390" s="58"/>
      <c r="CN390" s="58"/>
      <c r="CO390" s="58"/>
      <c r="CP390" s="58"/>
      <c r="CQ390" s="58"/>
      <c r="CR390" s="58"/>
      <c r="CS390" s="58"/>
      <c r="CT390" s="58"/>
      <c r="CU390" s="58"/>
      <c r="CV390" s="58"/>
      <c r="CW390" s="58"/>
      <c r="CX390" s="58"/>
      <c r="CY390" s="58"/>
      <c r="CZ390" s="58"/>
      <c r="DA390" s="58"/>
      <c r="DB390" s="58"/>
      <c r="DC390" s="58"/>
      <c r="DD390" s="58"/>
      <c r="DE390" s="58"/>
      <c r="DF390" s="58"/>
      <c r="DG390" s="58"/>
      <c r="DH390" s="58"/>
      <c r="DI390" s="58"/>
      <c r="DJ390" s="58"/>
      <c r="DK390" s="58"/>
      <c r="DL390" s="58"/>
      <c r="DM390" s="58"/>
      <c r="DN390" s="58"/>
      <c r="DO390" s="58"/>
      <c r="DP390" s="58"/>
      <c r="DQ390" s="58"/>
      <c r="DR390" s="58"/>
      <c r="DS390" s="58"/>
      <c r="DT390" s="58"/>
    </row>
    <row r="391" spans="1:124">
      <c r="A391" s="19"/>
      <c r="B391" s="20"/>
      <c r="C391" s="20"/>
      <c r="D391" s="21"/>
      <c r="E391" s="22"/>
      <c r="F391" s="22"/>
      <c r="G391" s="22"/>
      <c r="H391" s="19"/>
      <c r="I391" s="19" t="s">
        <v>1694</v>
      </c>
      <c r="J391" s="22" t="s">
        <v>986</v>
      </c>
      <c r="K391" s="22" t="s">
        <v>986</v>
      </c>
      <c r="L391" s="22" t="s">
        <v>986</v>
      </c>
      <c r="M391" s="22" t="s">
        <v>986</v>
      </c>
      <c r="N391" s="22" t="s">
        <v>986</v>
      </c>
      <c r="O391" s="22" t="s">
        <v>986</v>
      </c>
      <c r="P391" s="21" t="s">
        <v>1557</v>
      </c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  <c r="CG391" s="58"/>
      <c r="CH391" s="58"/>
      <c r="CI391" s="58"/>
      <c r="CJ391" s="58"/>
      <c r="CK391" s="58"/>
      <c r="CL391" s="58"/>
      <c r="CM391" s="58"/>
      <c r="CN391" s="58"/>
      <c r="CO391" s="58"/>
      <c r="CP391" s="58"/>
      <c r="CQ391" s="58"/>
      <c r="CR391" s="58"/>
      <c r="CS391" s="58"/>
      <c r="CT391" s="58"/>
      <c r="CU391" s="58"/>
      <c r="CV391" s="58"/>
      <c r="CW391" s="58"/>
      <c r="CX391" s="58"/>
      <c r="CY391" s="58"/>
      <c r="CZ391" s="58"/>
      <c r="DA391" s="58"/>
      <c r="DB391" s="58"/>
      <c r="DC391" s="58"/>
      <c r="DD391" s="58"/>
      <c r="DE391" s="58"/>
      <c r="DF391" s="58"/>
      <c r="DG391" s="58"/>
      <c r="DH391" s="58"/>
      <c r="DI391" s="58"/>
      <c r="DJ391" s="58"/>
      <c r="DK391" s="58"/>
      <c r="DL391" s="58"/>
      <c r="DM391" s="58"/>
      <c r="DN391" s="58"/>
      <c r="DO391" s="58"/>
      <c r="DP391" s="58"/>
      <c r="DQ391" s="58"/>
      <c r="DR391" s="58"/>
      <c r="DS391" s="58"/>
      <c r="DT391" s="58"/>
    </row>
    <row r="392" spans="1:124" s="146" customFormat="1">
      <c r="A392" s="19"/>
      <c r="B392" s="20"/>
      <c r="C392" s="20"/>
      <c r="D392" s="21"/>
      <c r="E392" s="22"/>
      <c r="F392" s="22"/>
      <c r="G392" s="22"/>
      <c r="H392" s="19"/>
      <c r="I392" s="19" t="s">
        <v>1500</v>
      </c>
      <c r="J392" s="22" t="s">
        <v>986</v>
      </c>
      <c r="K392" s="22" t="s">
        <v>986</v>
      </c>
      <c r="L392" s="22" t="s">
        <v>986</v>
      </c>
      <c r="M392" s="22" t="s">
        <v>986</v>
      </c>
      <c r="N392" s="22" t="s">
        <v>986</v>
      </c>
      <c r="O392" s="22" t="s">
        <v>986</v>
      </c>
      <c r="P392" s="21" t="s">
        <v>1557</v>
      </c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  <c r="CG392" s="58"/>
      <c r="CH392" s="58"/>
      <c r="CI392" s="58"/>
      <c r="CJ392" s="58"/>
      <c r="CK392" s="58"/>
      <c r="CL392" s="58"/>
      <c r="CM392" s="58"/>
      <c r="CN392" s="58"/>
      <c r="CO392" s="58"/>
      <c r="CP392" s="58"/>
      <c r="CQ392" s="58"/>
      <c r="CR392" s="58"/>
      <c r="CS392" s="58"/>
      <c r="CT392" s="58"/>
      <c r="CU392" s="58"/>
      <c r="CV392" s="58"/>
      <c r="CW392" s="58"/>
      <c r="CX392" s="58"/>
      <c r="CY392" s="58"/>
      <c r="CZ392" s="58"/>
      <c r="DA392" s="58"/>
      <c r="DB392" s="58"/>
      <c r="DC392" s="58"/>
      <c r="DD392" s="58"/>
      <c r="DE392" s="58"/>
      <c r="DF392" s="58"/>
      <c r="DG392" s="58"/>
      <c r="DH392" s="58"/>
      <c r="DI392" s="58"/>
      <c r="DJ392" s="58"/>
      <c r="DK392" s="58"/>
      <c r="DL392" s="58"/>
      <c r="DM392" s="58"/>
      <c r="DN392" s="58"/>
      <c r="DO392" s="58"/>
      <c r="DP392" s="58"/>
      <c r="DQ392" s="58"/>
      <c r="DR392" s="58"/>
      <c r="DS392" s="58"/>
      <c r="DT392" s="58"/>
    </row>
    <row r="393" spans="1:124">
      <c r="A393" s="19"/>
      <c r="B393" s="20"/>
      <c r="C393" s="20"/>
      <c r="D393" s="21"/>
      <c r="E393" s="22"/>
      <c r="F393" s="22"/>
      <c r="G393" s="22"/>
      <c r="H393" s="19"/>
      <c r="I393" s="19" t="s">
        <v>1802</v>
      </c>
      <c r="J393" s="22" t="s">
        <v>986</v>
      </c>
      <c r="K393" s="22" t="s">
        <v>986</v>
      </c>
      <c r="L393" s="22" t="s">
        <v>986</v>
      </c>
      <c r="M393" s="22" t="s">
        <v>986</v>
      </c>
      <c r="N393" s="22" t="s">
        <v>986</v>
      </c>
      <c r="O393" s="22" t="s">
        <v>986</v>
      </c>
      <c r="P393" s="21" t="s">
        <v>1557</v>
      </c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8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8"/>
      <c r="DM393" s="58"/>
      <c r="DN393" s="58"/>
      <c r="DO393" s="58"/>
      <c r="DP393" s="58"/>
      <c r="DQ393" s="58"/>
      <c r="DR393" s="58"/>
      <c r="DS393" s="58"/>
      <c r="DT393" s="58"/>
    </row>
    <row r="394" spans="1:124">
      <c r="A394" s="19"/>
      <c r="B394" s="20"/>
      <c r="C394" s="20"/>
      <c r="D394" s="21"/>
      <c r="E394" s="22"/>
      <c r="F394" s="22"/>
      <c r="G394" s="22"/>
      <c r="H394" s="19"/>
      <c r="I394" s="19" t="s">
        <v>1844</v>
      </c>
      <c r="J394" s="22" t="s">
        <v>986</v>
      </c>
      <c r="K394" s="22" t="s">
        <v>986</v>
      </c>
      <c r="L394" s="22" t="s">
        <v>986</v>
      </c>
      <c r="M394" s="22" t="s">
        <v>986</v>
      </c>
      <c r="N394" s="22" t="s">
        <v>986</v>
      </c>
      <c r="O394" s="22" t="s">
        <v>986</v>
      </c>
      <c r="P394" s="21" t="s">
        <v>1557</v>
      </c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  <c r="CG394" s="58"/>
      <c r="CH394" s="58"/>
      <c r="CI394" s="58"/>
      <c r="CJ394" s="58"/>
      <c r="CK394" s="58"/>
      <c r="CL394" s="58"/>
      <c r="CM394" s="58"/>
      <c r="CN394" s="58"/>
      <c r="CO394" s="58"/>
      <c r="CP394" s="58"/>
      <c r="CQ394" s="58"/>
      <c r="CR394" s="58"/>
      <c r="CS394" s="58"/>
      <c r="CT394" s="58"/>
      <c r="CU394" s="58"/>
      <c r="CV394" s="58"/>
      <c r="CW394" s="58"/>
      <c r="CX394" s="58"/>
      <c r="CY394" s="58"/>
      <c r="CZ394" s="58"/>
      <c r="DA394" s="58"/>
      <c r="DB394" s="58"/>
      <c r="DC394" s="58"/>
      <c r="DD394" s="58"/>
      <c r="DE394" s="58"/>
      <c r="DF394" s="58"/>
      <c r="DG394" s="58"/>
      <c r="DH394" s="58"/>
      <c r="DI394" s="58"/>
      <c r="DJ394" s="58"/>
      <c r="DK394" s="58"/>
      <c r="DL394" s="58"/>
      <c r="DM394" s="58"/>
      <c r="DN394" s="58"/>
      <c r="DO394" s="58"/>
      <c r="DP394" s="58"/>
      <c r="DQ394" s="58"/>
      <c r="DR394" s="58"/>
      <c r="DS394" s="58"/>
      <c r="DT394" s="58"/>
    </row>
    <row r="395" spans="1:124" s="146" customFormat="1">
      <c r="A395" s="19"/>
      <c r="B395" s="20"/>
      <c r="C395" s="20"/>
      <c r="D395" s="21"/>
      <c r="E395" s="22"/>
      <c r="F395" s="22"/>
      <c r="G395" s="22"/>
      <c r="H395" s="19"/>
      <c r="I395" s="19" t="s">
        <v>1845</v>
      </c>
      <c r="J395" s="22">
        <v>7.5</v>
      </c>
      <c r="K395" s="22">
        <v>0.5</v>
      </c>
      <c r="L395" s="22">
        <v>97</v>
      </c>
      <c r="M395" s="22">
        <v>1</v>
      </c>
      <c r="N395" s="22">
        <f>J395*0.97</f>
        <v>7.2749999999999995</v>
      </c>
      <c r="O395" s="22" t="s">
        <v>986</v>
      </c>
      <c r="P395" s="21" t="s">
        <v>1557</v>
      </c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  <c r="CG395" s="58"/>
      <c r="CH395" s="58"/>
      <c r="CI395" s="58"/>
      <c r="CJ395" s="58"/>
      <c r="CK395" s="58"/>
      <c r="CL395" s="58"/>
      <c r="CM395" s="58"/>
      <c r="CN395" s="58"/>
      <c r="CO395" s="58"/>
      <c r="CP395" s="58"/>
      <c r="CQ395" s="58"/>
      <c r="CR395" s="58"/>
      <c r="CS395" s="58"/>
      <c r="CT395" s="58"/>
      <c r="CU395" s="58"/>
      <c r="CV395" s="58"/>
      <c r="CW395" s="58"/>
      <c r="CX395" s="58"/>
      <c r="CY395" s="58"/>
      <c r="CZ395" s="58"/>
      <c r="DA395" s="58"/>
      <c r="DB395" s="58"/>
      <c r="DC395" s="58"/>
      <c r="DD395" s="58"/>
      <c r="DE395" s="58"/>
      <c r="DF395" s="58"/>
      <c r="DG395" s="58"/>
      <c r="DH395" s="58"/>
      <c r="DI395" s="58"/>
      <c r="DJ395" s="58"/>
      <c r="DK395" s="58"/>
      <c r="DL395" s="58"/>
      <c r="DM395" s="58"/>
      <c r="DN395" s="58"/>
      <c r="DO395" s="58"/>
      <c r="DP395" s="58"/>
      <c r="DQ395" s="58"/>
      <c r="DR395" s="58"/>
      <c r="DS395" s="58"/>
      <c r="DT395" s="58"/>
    </row>
    <row r="396" spans="1:124" s="146" customFormat="1">
      <c r="A396" s="19"/>
      <c r="B396" s="20"/>
      <c r="C396" s="20"/>
      <c r="D396" s="21"/>
      <c r="E396" s="22"/>
      <c r="F396" s="22"/>
      <c r="G396" s="22"/>
      <c r="H396" s="19"/>
      <c r="I396" s="19" t="s">
        <v>1846</v>
      </c>
      <c r="J396" s="22">
        <v>1.7</v>
      </c>
      <c r="K396" s="22">
        <v>0.3</v>
      </c>
      <c r="L396" s="22">
        <v>27</v>
      </c>
      <c r="M396" s="22">
        <v>6</v>
      </c>
      <c r="N396" s="22">
        <f>J396*0.27</f>
        <v>0.45900000000000002</v>
      </c>
      <c r="O396" s="22" t="s">
        <v>986</v>
      </c>
      <c r="P396" s="21" t="s">
        <v>1557</v>
      </c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  <c r="CG396" s="58"/>
      <c r="CH396" s="58"/>
      <c r="CI396" s="58"/>
      <c r="CJ396" s="58"/>
      <c r="CK396" s="58"/>
      <c r="CL396" s="58"/>
      <c r="CM396" s="58"/>
      <c r="CN396" s="58"/>
      <c r="CO396" s="58"/>
      <c r="CP396" s="58"/>
      <c r="CQ396" s="58"/>
      <c r="CR396" s="58"/>
      <c r="CS396" s="58"/>
      <c r="CT396" s="58"/>
      <c r="CU396" s="58"/>
      <c r="CV396" s="58"/>
      <c r="CW396" s="58"/>
      <c r="CX396" s="58"/>
      <c r="CY396" s="58"/>
      <c r="CZ396" s="58"/>
      <c r="DA396" s="58"/>
      <c r="DB396" s="58"/>
      <c r="DC396" s="58"/>
      <c r="DD396" s="58"/>
      <c r="DE396" s="58"/>
      <c r="DF396" s="58"/>
      <c r="DG396" s="58"/>
      <c r="DH396" s="58"/>
      <c r="DI396" s="58"/>
      <c r="DJ396" s="58"/>
      <c r="DK396" s="58"/>
      <c r="DL396" s="58"/>
      <c r="DM396" s="58"/>
      <c r="DN396" s="58"/>
      <c r="DO396" s="58"/>
      <c r="DP396" s="58"/>
      <c r="DQ396" s="58"/>
      <c r="DR396" s="58"/>
      <c r="DS396" s="58"/>
      <c r="DT396" s="58"/>
    </row>
    <row r="397" spans="1:124" s="146" customFormat="1">
      <c r="A397" s="19"/>
      <c r="B397" s="20"/>
      <c r="C397" s="20"/>
      <c r="D397" s="21"/>
      <c r="E397" s="22"/>
      <c r="F397" s="22"/>
      <c r="G397" s="22"/>
      <c r="H397" s="19"/>
      <c r="I397" s="19" t="s">
        <v>485</v>
      </c>
      <c r="J397" s="22">
        <v>7.8</v>
      </c>
      <c r="K397" s="22">
        <v>0.7</v>
      </c>
      <c r="L397" s="22">
        <v>97</v>
      </c>
      <c r="M397" s="22">
        <v>3</v>
      </c>
      <c r="N397" s="22">
        <v>7.6</v>
      </c>
      <c r="O397" s="22">
        <v>0.7</v>
      </c>
      <c r="P397" s="21" t="s">
        <v>1557</v>
      </c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  <c r="CQ397" s="58"/>
      <c r="CR397" s="58"/>
      <c r="CS397" s="58"/>
      <c r="CT397" s="58"/>
      <c r="CU397" s="58"/>
      <c r="CV397" s="58"/>
      <c r="CW397" s="58"/>
      <c r="CX397" s="58"/>
      <c r="CY397" s="58"/>
      <c r="CZ397" s="58"/>
      <c r="DA397" s="58"/>
      <c r="DB397" s="58"/>
      <c r="DC397" s="58"/>
      <c r="DD397" s="58"/>
      <c r="DE397" s="58"/>
      <c r="DF397" s="58"/>
      <c r="DG397" s="58"/>
      <c r="DH397" s="58"/>
      <c r="DI397" s="58"/>
      <c r="DJ397" s="58"/>
      <c r="DK397" s="58"/>
      <c r="DL397" s="58"/>
      <c r="DM397" s="58"/>
      <c r="DN397" s="58"/>
      <c r="DO397" s="58"/>
      <c r="DP397" s="58"/>
      <c r="DQ397" s="58"/>
      <c r="DR397" s="58"/>
      <c r="DS397" s="58"/>
      <c r="DT397" s="58"/>
    </row>
    <row r="398" spans="1:124">
      <c r="A398" s="19" t="s">
        <v>1764</v>
      </c>
      <c r="B398" s="20" t="s">
        <v>1665</v>
      </c>
      <c r="C398" s="20" t="s">
        <v>1666</v>
      </c>
      <c r="D398" s="21" t="s">
        <v>1765</v>
      </c>
      <c r="E398" s="22">
        <v>1993</v>
      </c>
      <c r="F398" s="22">
        <v>8</v>
      </c>
      <c r="G398" s="22">
        <v>30</v>
      </c>
      <c r="H398" s="19" t="s">
        <v>1363</v>
      </c>
      <c r="I398" s="19" t="s">
        <v>544</v>
      </c>
      <c r="J398" s="22">
        <v>3.8</v>
      </c>
      <c r="K398" s="22">
        <v>0.3</v>
      </c>
      <c r="L398" s="22">
        <v>100</v>
      </c>
      <c r="M398" s="22">
        <v>0</v>
      </c>
      <c r="N398" s="22">
        <v>3.8</v>
      </c>
      <c r="O398" s="22" t="s">
        <v>986</v>
      </c>
      <c r="P398" s="21" t="s">
        <v>1648</v>
      </c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8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8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8"/>
      <c r="DM398" s="58"/>
      <c r="DN398" s="58"/>
      <c r="DO398" s="58"/>
      <c r="DP398" s="58"/>
      <c r="DQ398" s="58"/>
      <c r="DR398" s="58"/>
      <c r="DS398" s="58"/>
      <c r="DT398" s="58"/>
    </row>
    <row r="399" spans="1:124">
      <c r="A399" s="19"/>
      <c r="B399" s="20"/>
      <c r="C399" s="20"/>
      <c r="D399" s="21"/>
      <c r="E399" s="22"/>
      <c r="F399" s="22"/>
      <c r="G399" s="22"/>
      <c r="H399" s="19"/>
      <c r="I399" s="19" t="s">
        <v>1843</v>
      </c>
      <c r="J399" s="22">
        <v>4.5</v>
      </c>
      <c r="K399" s="22">
        <v>1.3</v>
      </c>
      <c r="L399" s="22">
        <v>90</v>
      </c>
      <c r="M399" s="22">
        <v>4</v>
      </c>
      <c r="N399" s="22">
        <f>J399*0.9</f>
        <v>4.05</v>
      </c>
      <c r="O399" s="22" t="s">
        <v>986</v>
      </c>
      <c r="P399" s="21" t="s">
        <v>1648</v>
      </c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</row>
    <row r="400" spans="1:124">
      <c r="A400" s="19"/>
      <c r="B400" s="20"/>
      <c r="C400" s="20"/>
      <c r="D400" s="21"/>
      <c r="E400" s="22"/>
      <c r="F400" s="22"/>
      <c r="G400" s="22"/>
      <c r="H400" s="19"/>
      <c r="I400" s="19" t="s">
        <v>1694</v>
      </c>
      <c r="J400" s="22">
        <v>0.3</v>
      </c>
      <c r="K400" s="22">
        <v>0.1</v>
      </c>
      <c r="L400" s="22">
        <v>89</v>
      </c>
      <c r="M400" s="22">
        <v>3</v>
      </c>
      <c r="N400" s="22">
        <f>0.3*0.89</f>
        <v>0.26700000000000002</v>
      </c>
      <c r="O400" s="22" t="s">
        <v>986</v>
      </c>
      <c r="P400" s="21" t="s">
        <v>1648</v>
      </c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  <c r="CG400" s="58"/>
      <c r="CH400" s="58"/>
      <c r="CI400" s="58"/>
      <c r="CJ400" s="58"/>
      <c r="CK400" s="58"/>
      <c r="CL400" s="58"/>
      <c r="CM400" s="58"/>
      <c r="CN400" s="58"/>
      <c r="CO400" s="58"/>
      <c r="CP400" s="58"/>
      <c r="CQ400" s="58"/>
      <c r="CR400" s="58"/>
      <c r="CS400" s="58"/>
      <c r="CT400" s="58"/>
      <c r="CU400" s="58"/>
      <c r="CV400" s="58"/>
      <c r="CW400" s="58"/>
      <c r="CX400" s="58"/>
      <c r="CY400" s="58"/>
      <c r="CZ400" s="58"/>
      <c r="DA400" s="58"/>
      <c r="DB400" s="58"/>
      <c r="DC400" s="58"/>
      <c r="DD400" s="58"/>
      <c r="DE400" s="58"/>
      <c r="DF400" s="58"/>
      <c r="DG400" s="58"/>
      <c r="DH400" s="58"/>
      <c r="DI400" s="58"/>
      <c r="DJ400" s="58"/>
      <c r="DK400" s="58"/>
      <c r="DL400" s="58"/>
      <c r="DM400" s="58"/>
      <c r="DN400" s="58"/>
      <c r="DO400" s="58"/>
      <c r="DP400" s="58"/>
      <c r="DQ400" s="58"/>
      <c r="DR400" s="58"/>
      <c r="DS400" s="58"/>
      <c r="DT400" s="58"/>
    </row>
    <row r="401" spans="1:124" s="146" customFormat="1">
      <c r="A401" s="19"/>
      <c r="B401" s="20"/>
      <c r="C401" s="20"/>
      <c r="D401" s="21"/>
      <c r="E401" s="22"/>
      <c r="F401" s="22"/>
      <c r="G401" s="22"/>
      <c r="H401" s="19"/>
      <c r="I401" s="19" t="s">
        <v>1500</v>
      </c>
      <c r="J401" s="22">
        <v>0.6</v>
      </c>
      <c r="K401" s="22">
        <v>0.1</v>
      </c>
      <c r="L401" s="22">
        <v>62</v>
      </c>
      <c r="M401" s="22">
        <v>8</v>
      </c>
      <c r="N401" s="22">
        <f>0.8*0.62</f>
        <v>0.496</v>
      </c>
      <c r="O401" s="22" t="s">
        <v>986</v>
      </c>
      <c r="P401" s="21" t="s">
        <v>1648</v>
      </c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  <c r="CG401" s="58"/>
      <c r="CH401" s="58"/>
      <c r="CI401" s="58"/>
      <c r="CJ401" s="58"/>
      <c r="CK401" s="58"/>
      <c r="CL401" s="58"/>
      <c r="CM401" s="58"/>
      <c r="CN401" s="58"/>
      <c r="CO401" s="58"/>
      <c r="CP401" s="58"/>
      <c r="CQ401" s="58"/>
      <c r="CR401" s="58"/>
      <c r="CS401" s="58"/>
      <c r="CT401" s="58"/>
      <c r="CU401" s="58"/>
      <c r="CV401" s="58"/>
      <c r="CW401" s="58"/>
      <c r="CX401" s="58"/>
      <c r="CY401" s="58"/>
      <c r="CZ401" s="58"/>
      <c r="DA401" s="58"/>
      <c r="DB401" s="58"/>
      <c r="DC401" s="58"/>
      <c r="DD401" s="58"/>
      <c r="DE401" s="58"/>
      <c r="DF401" s="58"/>
      <c r="DG401" s="58"/>
      <c r="DH401" s="58"/>
      <c r="DI401" s="58"/>
      <c r="DJ401" s="58"/>
      <c r="DK401" s="58"/>
      <c r="DL401" s="58"/>
      <c r="DM401" s="58"/>
      <c r="DN401" s="58"/>
      <c r="DO401" s="58"/>
      <c r="DP401" s="58"/>
      <c r="DQ401" s="58"/>
      <c r="DR401" s="58"/>
      <c r="DS401" s="58"/>
      <c r="DT401" s="58"/>
    </row>
    <row r="402" spans="1:124">
      <c r="A402" s="19"/>
      <c r="B402" s="20"/>
      <c r="C402" s="20"/>
      <c r="D402" s="21"/>
      <c r="E402" s="22"/>
      <c r="F402" s="22"/>
      <c r="G402" s="22"/>
      <c r="H402" s="19"/>
      <c r="I402" s="19" t="s">
        <v>1802</v>
      </c>
      <c r="J402" s="22">
        <v>0.8</v>
      </c>
      <c r="K402" s="22">
        <v>0.1</v>
      </c>
      <c r="L402" s="22">
        <v>42</v>
      </c>
      <c r="M402" s="22">
        <v>10</v>
      </c>
      <c r="N402" s="22">
        <f>0.8*0.42</f>
        <v>0.33600000000000002</v>
      </c>
      <c r="O402" s="22" t="s">
        <v>986</v>
      </c>
      <c r="P402" s="21" t="s">
        <v>1648</v>
      </c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  <c r="CG402" s="58"/>
      <c r="CH402" s="58"/>
      <c r="CI402" s="58"/>
      <c r="CJ402" s="58"/>
      <c r="CK402" s="58"/>
      <c r="CL402" s="58"/>
      <c r="CM402" s="58"/>
      <c r="CN402" s="58"/>
      <c r="CO402" s="58"/>
      <c r="CP402" s="58"/>
      <c r="CQ402" s="58"/>
      <c r="CR402" s="58"/>
      <c r="CS402" s="58"/>
      <c r="CT402" s="58"/>
      <c r="CU402" s="58"/>
      <c r="CV402" s="58"/>
      <c r="CW402" s="58"/>
      <c r="CX402" s="58"/>
      <c r="CY402" s="58"/>
      <c r="CZ402" s="58"/>
      <c r="DA402" s="58"/>
      <c r="DB402" s="58"/>
      <c r="DC402" s="58"/>
      <c r="DD402" s="58"/>
      <c r="DE402" s="58"/>
      <c r="DF402" s="58"/>
      <c r="DG402" s="58"/>
      <c r="DH402" s="58"/>
      <c r="DI402" s="58"/>
      <c r="DJ402" s="58"/>
      <c r="DK402" s="58"/>
      <c r="DL402" s="58"/>
      <c r="DM402" s="58"/>
      <c r="DN402" s="58"/>
      <c r="DO402" s="58"/>
      <c r="DP402" s="58"/>
      <c r="DQ402" s="58"/>
      <c r="DR402" s="58"/>
      <c r="DS402" s="58"/>
      <c r="DT402" s="58"/>
    </row>
    <row r="403" spans="1:124">
      <c r="A403" s="19"/>
      <c r="B403" s="20"/>
      <c r="C403" s="20"/>
      <c r="D403" s="21"/>
      <c r="E403" s="22"/>
      <c r="F403" s="22"/>
      <c r="G403" s="22"/>
      <c r="H403" s="19"/>
      <c r="I403" s="19" t="s">
        <v>1844</v>
      </c>
      <c r="J403" s="22">
        <v>1.7</v>
      </c>
      <c r="K403" s="22">
        <v>0.2</v>
      </c>
      <c r="L403" s="22">
        <v>67</v>
      </c>
      <c r="M403" s="22">
        <v>6</v>
      </c>
      <c r="N403" s="22">
        <f>1.7*0.67</f>
        <v>1.139</v>
      </c>
      <c r="O403" s="22" t="s">
        <v>986</v>
      </c>
      <c r="P403" s="21" t="s">
        <v>1648</v>
      </c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8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8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8"/>
      <c r="DM403" s="58"/>
      <c r="DN403" s="58"/>
      <c r="DO403" s="58"/>
      <c r="DP403" s="58"/>
      <c r="DQ403" s="58"/>
      <c r="DR403" s="58"/>
      <c r="DS403" s="58"/>
      <c r="DT403" s="58"/>
    </row>
    <row r="404" spans="1:124" s="146" customFormat="1">
      <c r="A404" s="19"/>
      <c r="B404" s="20"/>
      <c r="C404" s="20"/>
      <c r="D404" s="21"/>
      <c r="E404" s="22"/>
      <c r="F404" s="22"/>
      <c r="G404" s="22"/>
      <c r="H404" s="19"/>
      <c r="I404" s="19" t="s">
        <v>1845</v>
      </c>
      <c r="J404" s="22">
        <v>12.1</v>
      </c>
      <c r="K404" s="22">
        <v>2</v>
      </c>
      <c r="L404" s="22">
        <v>92</v>
      </c>
      <c r="M404" s="22">
        <v>3</v>
      </c>
      <c r="N404" s="22">
        <f>J404*0.92</f>
        <v>11.132</v>
      </c>
      <c r="O404" s="22" t="s">
        <v>986</v>
      </c>
      <c r="P404" s="21" t="s">
        <v>1648</v>
      </c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  <c r="CG404" s="58"/>
      <c r="CH404" s="58"/>
      <c r="CI404" s="58"/>
      <c r="CJ404" s="58"/>
      <c r="CK404" s="58"/>
      <c r="CL404" s="58"/>
      <c r="CM404" s="58"/>
      <c r="CN404" s="58"/>
      <c r="CO404" s="58"/>
      <c r="CP404" s="58"/>
      <c r="CQ404" s="58"/>
      <c r="CR404" s="58"/>
      <c r="CS404" s="58"/>
      <c r="CT404" s="58"/>
      <c r="CU404" s="58"/>
      <c r="CV404" s="58"/>
      <c r="CW404" s="58"/>
      <c r="CX404" s="58"/>
      <c r="CY404" s="58"/>
      <c r="CZ404" s="58"/>
      <c r="DA404" s="58"/>
      <c r="DB404" s="58"/>
      <c r="DC404" s="58"/>
      <c r="DD404" s="58"/>
      <c r="DE404" s="58"/>
      <c r="DF404" s="58"/>
      <c r="DG404" s="58"/>
      <c r="DH404" s="58"/>
      <c r="DI404" s="58"/>
      <c r="DJ404" s="58"/>
      <c r="DK404" s="58"/>
      <c r="DL404" s="58"/>
      <c r="DM404" s="58"/>
      <c r="DN404" s="58"/>
      <c r="DO404" s="58"/>
      <c r="DP404" s="58"/>
      <c r="DQ404" s="58"/>
      <c r="DR404" s="58"/>
      <c r="DS404" s="58"/>
      <c r="DT404" s="58"/>
    </row>
    <row r="405" spans="1:124" s="146" customFormat="1">
      <c r="A405" s="19"/>
      <c r="B405" s="20"/>
      <c r="C405" s="20"/>
      <c r="D405" s="21"/>
      <c r="E405" s="22"/>
      <c r="F405" s="22"/>
      <c r="G405" s="22"/>
      <c r="H405" s="19"/>
      <c r="I405" s="19" t="s">
        <v>1846</v>
      </c>
      <c r="J405" s="22">
        <v>6.2</v>
      </c>
      <c r="K405" s="22">
        <v>0.5</v>
      </c>
      <c r="L405" s="22">
        <v>35</v>
      </c>
      <c r="M405" s="22">
        <v>5</v>
      </c>
      <c r="N405" s="22">
        <f>J405*0.35</f>
        <v>2.17</v>
      </c>
      <c r="O405" s="22" t="s">
        <v>986</v>
      </c>
      <c r="P405" s="21" t="s">
        <v>1648</v>
      </c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  <c r="CG405" s="58"/>
      <c r="CH405" s="58"/>
      <c r="CI405" s="58"/>
      <c r="CJ405" s="58"/>
      <c r="CK405" s="58"/>
      <c r="CL405" s="58"/>
      <c r="CM405" s="58"/>
      <c r="CN405" s="58"/>
      <c r="CO405" s="58"/>
      <c r="CP405" s="58"/>
      <c r="CQ405" s="58"/>
      <c r="CR405" s="58"/>
      <c r="CS405" s="58"/>
      <c r="CT405" s="58"/>
      <c r="CU405" s="58"/>
      <c r="CV405" s="58"/>
      <c r="CW405" s="58"/>
      <c r="CX405" s="58"/>
      <c r="CY405" s="58"/>
      <c r="CZ405" s="58"/>
      <c r="DA405" s="58"/>
      <c r="DB405" s="58"/>
      <c r="DC405" s="58"/>
      <c r="DD405" s="58"/>
      <c r="DE405" s="58"/>
      <c r="DF405" s="58"/>
      <c r="DG405" s="58"/>
      <c r="DH405" s="58"/>
      <c r="DI405" s="58"/>
      <c r="DJ405" s="58"/>
      <c r="DK405" s="58"/>
      <c r="DL405" s="58"/>
      <c r="DM405" s="58"/>
      <c r="DN405" s="58"/>
      <c r="DO405" s="58"/>
      <c r="DP405" s="58"/>
      <c r="DQ405" s="58"/>
      <c r="DR405" s="58"/>
      <c r="DS405" s="58"/>
      <c r="DT405" s="58"/>
    </row>
    <row r="406" spans="1:124" s="146" customFormat="1">
      <c r="A406" s="19"/>
      <c r="B406" s="20"/>
      <c r="C406" s="20"/>
      <c r="D406" s="21"/>
      <c r="E406" s="22"/>
      <c r="F406" s="22"/>
      <c r="G406" s="22"/>
      <c r="H406" s="19"/>
      <c r="I406" s="19" t="s">
        <v>485</v>
      </c>
      <c r="J406" s="22">
        <v>12.9</v>
      </c>
      <c r="K406" s="22">
        <v>0.9</v>
      </c>
      <c r="L406" s="22">
        <v>92</v>
      </c>
      <c r="M406" s="22">
        <v>2</v>
      </c>
      <c r="N406" s="22">
        <v>11.9</v>
      </c>
      <c r="O406" s="22">
        <v>1.3</v>
      </c>
      <c r="P406" s="21" t="s">
        <v>1648</v>
      </c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  <c r="CG406" s="58"/>
      <c r="CH406" s="58"/>
      <c r="CI406" s="58"/>
      <c r="CJ406" s="58"/>
      <c r="CK406" s="58"/>
      <c r="CL406" s="58"/>
      <c r="CM406" s="58"/>
      <c r="CN406" s="58"/>
      <c r="CO406" s="58"/>
      <c r="CP406" s="58"/>
      <c r="CQ406" s="58"/>
      <c r="CR406" s="58"/>
      <c r="CS406" s="58"/>
      <c r="CT406" s="58"/>
      <c r="CU406" s="58"/>
      <c r="CV406" s="58"/>
      <c r="CW406" s="58"/>
      <c r="CX406" s="58"/>
      <c r="CY406" s="58"/>
      <c r="CZ406" s="58"/>
      <c r="DA406" s="58"/>
      <c r="DB406" s="58"/>
      <c r="DC406" s="58"/>
      <c r="DD406" s="58"/>
      <c r="DE406" s="58"/>
      <c r="DF406" s="58"/>
      <c r="DG406" s="58"/>
      <c r="DH406" s="58"/>
      <c r="DI406" s="58"/>
      <c r="DJ406" s="58"/>
      <c r="DK406" s="58"/>
      <c r="DL406" s="58"/>
      <c r="DM406" s="58"/>
      <c r="DN406" s="58"/>
      <c r="DO406" s="58"/>
      <c r="DP406" s="58"/>
      <c r="DQ406" s="58"/>
      <c r="DR406" s="58"/>
      <c r="DS406" s="58"/>
      <c r="DT406" s="58"/>
    </row>
    <row r="407" spans="1:124">
      <c r="A407" s="19" t="s">
        <v>1764</v>
      </c>
      <c r="B407" s="20" t="s">
        <v>1665</v>
      </c>
      <c r="C407" s="20" t="s">
        <v>1666</v>
      </c>
      <c r="D407" s="21" t="s">
        <v>1765</v>
      </c>
      <c r="E407" s="22">
        <v>1993</v>
      </c>
      <c r="F407" s="22">
        <v>8</v>
      </c>
      <c r="G407" s="22">
        <v>31</v>
      </c>
      <c r="H407" s="19" t="s">
        <v>1363</v>
      </c>
      <c r="I407" s="19" t="s">
        <v>544</v>
      </c>
      <c r="J407" s="22">
        <v>3.3</v>
      </c>
      <c r="K407" s="22">
        <v>0.2</v>
      </c>
      <c r="L407" s="22">
        <v>100</v>
      </c>
      <c r="M407" s="22">
        <v>0</v>
      </c>
      <c r="N407" s="22">
        <v>3.3</v>
      </c>
      <c r="O407" s="22" t="s">
        <v>986</v>
      </c>
      <c r="P407" s="21" t="s">
        <v>1763</v>
      </c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  <c r="CG407" s="58"/>
      <c r="CH407" s="58"/>
      <c r="CI407" s="58"/>
      <c r="CJ407" s="58"/>
      <c r="CK407" s="58"/>
      <c r="CL407" s="58"/>
      <c r="CM407" s="58"/>
      <c r="CN407" s="58"/>
      <c r="CO407" s="58"/>
      <c r="CP407" s="58"/>
      <c r="CQ407" s="58"/>
      <c r="CR407" s="58"/>
      <c r="CS407" s="58"/>
      <c r="CT407" s="58"/>
      <c r="CU407" s="58"/>
      <c r="CV407" s="58"/>
      <c r="CW407" s="58"/>
      <c r="CX407" s="58"/>
      <c r="CY407" s="58"/>
      <c r="CZ407" s="58"/>
      <c r="DA407" s="58"/>
      <c r="DB407" s="58"/>
      <c r="DC407" s="58"/>
      <c r="DD407" s="58"/>
      <c r="DE407" s="58"/>
      <c r="DF407" s="58"/>
      <c r="DG407" s="58"/>
      <c r="DH407" s="58"/>
      <c r="DI407" s="58"/>
      <c r="DJ407" s="58"/>
      <c r="DK407" s="58"/>
      <c r="DL407" s="58"/>
      <c r="DM407" s="58"/>
      <c r="DN407" s="58"/>
      <c r="DO407" s="58"/>
      <c r="DP407" s="58"/>
      <c r="DQ407" s="58"/>
      <c r="DR407" s="58"/>
      <c r="DS407" s="58"/>
      <c r="DT407" s="58"/>
    </row>
    <row r="408" spans="1:124">
      <c r="A408" s="19"/>
      <c r="B408" s="20"/>
      <c r="C408" s="20"/>
      <c r="D408" s="21"/>
      <c r="E408" s="22"/>
      <c r="F408" s="22"/>
      <c r="G408" s="22"/>
      <c r="H408" s="19"/>
      <c r="I408" s="19" t="s">
        <v>1843</v>
      </c>
      <c r="J408" s="22">
        <v>2</v>
      </c>
      <c r="K408" s="22">
        <v>0.2</v>
      </c>
      <c r="L408" s="22">
        <v>90</v>
      </c>
      <c r="M408" s="22">
        <v>3</v>
      </c>
      <c r="N408" s="22">
        <f>2*0.9</f>
        <v>1.8</v>
      </c>
      <c r="O408" s="22" t="s">
        <v>986</v>
      </c>
      <c r="P408" s="21" t="s">
        <v>1763</v>
      </c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8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8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8"/>
      <c r="DM408" s="58"/>
      <c r="DN408" s="58"/>
      <c r="DO408" s="58"/>
      <c r="DP408" s="58"/>
      <c r="DQ408" s="58"/>
      <c r="DR408" s="58"/>
      <c r="DS408" s="58"/>
      <c r="DT408" s="58"/>
    </row>
    <row r="409" spans="1:124">
      <c r="A409" s="19"/>
      <c r="B409" s="20"/>
      <c r="C409" s="20"/>
      <c r="D409" s="21"/>
      <c r="E409" s="22"/>
      <c r="F409" s="22"/>
      <c r="G409" s="22"/>
      <c r="H409" s="19"/>
      <c r="I409" s="19" t="s">
        <v>1694</v>
      </c>
      <c r="J409" s="22">
        <v>0.3</v>
      </c>
      <c r="K409" s="22">
        <v>0</v>
      </c>
      <c r="L409" s="22">
        <v>79</v>
      </c>
      <c r="M409" s="22">
        <v>4</v>
      </c>
      <c r="N409" s="22">
        <f>0.3*0.79</f>
        <v>0.23699999999999999</v>
      </c>
      <c r="O409" s="22" t="s">
        <v>986</v>
      </c>
      <c r="P409" s="21" t="s">
        <v>1763</v>
      </c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  <c r="CG409" s="58"/>
      <c r="CH409" s="58"/>
      <c r="CI409" s="58"/>
      <c r="CJ409" s="58"/>
      <c r="CK409" s="58"/>
      <c r="CL409" s="58"/>
      <c r="CM409" s="58"/>
      <c r="CN409" s="58"/>
      <c r="CO409" s="58"/>
      <c r="CP409" s="58"/>
      <c r="CQ409" s="58"/>
      <c r="CR409" s="58"/>
      <c r="CS409" s="58"/>
      <c r="CT409" s="58"/>
      <c r="CU409" s="58"/>
      <c r="CV409" s="58"/>
      <c r="CW409" s="58"/>
      <c r="CX409" s="58"/>
      <c r="CY409" s="58"/>
      <c r="CZ409" s="58"/>
      <c r="DA409" s="58"/>
      <c r="DB409" s="58"/>
      <c r="DC409" s="58"/>
      <c r="DD409" s="58"/>
      <c r="DE409" s="58"/>
      <c r="DF409" s="58"/>
      <c r="DG409" s="58"/>
      <c r="DH409" s="58"/>
      <c r="DI409" s="58"/>
      <c r="DJ409" s="58"/>
      <c r="DK409" s="58"/>
      <c r="DL409" s="58"/>
      <c r="DM409" s="58"/>
      <c r="DN409" s="58"/>
      <c r="DO409" s="58"/>
      <c r="DP409" s="58"/>
      <c r="DQ409" s="58"/>
      <c r="DR409" s="58"/>
      <c r="DS409" s="58"/>
      <c r="DT409" s="58"/>
    </row>
    <row r="410" spans="1:124" s="146" customFormat="1">
      <c r="A410" s="19"/>
      <c r="B410" s="20"/>
      <c r="C410" s="20"/>
      <c r="D410" s="21"/>
      <c r="E410" s="22"/>
      <c r="F410" s="22"/>
      <c r="G410" s="22"/>
      <c r="H410" s="19"/>
      <c r="I410" s="19" t="s">
        <v>1500</v>
      </c>
      <c r="J410" s="22">
        <v>0.6</v>
      </c>
      <c r="K410" s="22">
        <v>0.1</v>
      </c>
      <c r="L410" s="22">
        <v>53</v>
      </c>
      <c r="M410" s="22">
        <v>8</v>
      </c>
      <c r="N410" s="22">
        <f>0.6*0.53</f>
        <v>0.318</v>
      </c>
      <c r="O410" s="22" t="s">
        <v>986</v>
      </c>
      <c r="P410" s="21" t="s">
        <v>1763</v>
      </c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  <c r="CG410" s="58"/>
      <c r="CH410" s="58"/>
      <c r="CI410" s="58"/>
      <c r="CJ410" s="58"/>
      <c r="CK410" s="58"/>
      <c r="CL410" s="58"/>
      <c r="CM410" s="58"/>
      <c r="CN410" s="58"/>
      <c r="CO410" s="58"/>
      <c r="CP410" s="58"/>
      <c r="CQ410" s="58"/>
      <c r="CR410" s="58"/>
      <c r="CS410" s="58"/>
      <c r="CT410" s="58"/>
      <c r="CU410" s="58"/>
      <c r="CV410" s="58"/>
      <c r="CW410" s="58"/>
      <c r="CX410" s="58"/>
      <c r="CY410" s="58"/>
      <c r="CZ410" s="58"/>
      <c r="DA410" s="58"/>
      <c r="DB410" s="58"/>
      <c r="DC410" s="58"/>
      <c r="DD410" s="58"/>
      <c r="DE410" s="58"/>
      <c r="DF410" s="58"/>
      <c r="DG410" s="58"/>
      <c r="DH410" s="58"/>
      <c r="DI410" s="58"/>
      <c r="DJ410" s="58"/>
      <c r="DK410" s="58"/>
      <c r="DL410" s="58"/>
      <c r="DM410" s="58"/>
      <c r="DN410" s="58"/>
      <c r="DO410" s="58"/>
      <c r="DP410" s="58"/>
      <c r="DQ410" s="58"/>
      <c r="DR410" s="58"/>
      <c r="DS410" s="58"/>
      <c r="DT410" s="58"/>
    </row>
    <row r="411" spans="1:124">
      <c r="A411" s="19"/>
      <c r="B411" s="20"/>
      <c r="C411" s="20"/>
      <c r="D411" s="21"/>
      <c r="E411" s="22"/>
      <c r="F411" s="22"/>
      <c r="G411" s="22"/>
      <c r="H411" s="19"/>
      <c r="I411" s="19" t="s">
        <v>1802</v>
      </c>
      <c r="J411" s="22">
        <v>1</v>
      </c>
      <c r="K411" s="22">
        <v>0.2</v>
      </c>
      <c r="L411" s="22">
        <v>39</v>
      </c>
      <c r="M411" s="22">
        <v>20</v>
      </c>
      <c r="N411" s="22">
        <f>1*0.39</f>
        <v>0.39</v>
      </c>
      <c r="O411" s="22" t="s">
        <v>986</v>
      </c>
      <c r="P411" s="21" t="s">
        <v>1763</v>
      </c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</row>
    <row r="412" spans="1:124">
      <c r="A412" s="19"/>
      <c r="B412" s="20"/>
      <c r="C412" s="20"/>
      <c r="D412" s="21"/>
      <c r="E412" s="22"/>
      <c r="F412" s="22"/>
      <c r="G412" s="22"/>
      <c r="H412" s="19"/>
      <c r="I412" s="19" t="s">
        <v>1844</v>
      </c>
      <c r="J412" s="22">
        <v>1.9</v>
      </c>
      <c r="K412" s="22">
        <v>0.2</v>
      </c>
      <c r="L412" s="22">
        <v>55</v>
      </c>
      <c r="M412" s="22">
        <v>6</v>
      </c>
      <c r="N412" s="22">
        <f>1.9*0.55</f>
        <v>1.0449999999999999</v>
      </c>
      <c r="O412" s="22" t="s">
        <v>986</v>
      </c>
      <c r="P412" s="21" t="s">
        <v>1763</v>
      </c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  <c r="CG412" s="58"/>
      <c r="CH412" s="58"/>
      <c r="CI412" s="58"/>
      <c r="CJ412" s="58"/>
      <c r="CK412" s="58"/>
      <c r="CL412" s="58"/>
      <c r="CM412" s="58"/>
      <c r="CN412" s="58"/>
      <c r="CO412" s="58"/>
      <c r="CP412" s="58"/>
      <c r="CQ412" s="58"/>
      <c r="CR412" s="58"/>
      <c r="CS412" s="58"/>
      <c r="CT412" s="58"/>
      <c r="CU412" s="58"/>
      <c r="CV412" s="58"/>
      <c r="CW412" s="58"/>
      <c r="CX412" s="58"/>
      <c r="CY412" s="58"/>
      <c r="CZ412" s="58"/>
      <c r="DA412" s="58"/>
      <c r="DB412" s="58"/>
      <c r="DC412" s="58"/>
      <c r="DD412" s="58"/>
      <c r="DE412" s="58"/>
      <c r="DF412" s="58"/>
      <c r="DG412" s="58"/>
      <c r="DH412" s="58"/>
      <c r="DI412" s="58"/>
      <c r="DJ412" s="58"/>
      <c r="DK412" s="58"/>
      <c r="DL412" s="58"/>
      <c r="DM412" s="58"/>
      <c r="DN412" s="58"/>
      <c r="DO412" s="58"/>
      <c r="DP412" s="58"/>
      <c r="DQ412" s="58"/>
      <c r="DR412" s="58"/>
      <c r="DS412" s="58"/>
      <c r="DT412" s="58"/>
    </row>
    <row r="413" spans="1:124">
      <c r="A413" s="19"/>
      <c r="B413" s="20"/>
      <c r="C413" s="20"/>
      <c r="D413" s="21"/>
      <c r="E413" s="22"/>
      <c r="F413" s="22"/>
      <c r="G413" s="22"/>
      <c r="H413" s="19"/>
      <c r="I413" s="19" t="s">
        <v>1845</v>
      </c>
      <c r="J413" s="22">
        <v>8.8000000000000007</v>
      </c>
      <c r="K413" s="22">
        <v>0.8</v>
      </c>
      <c r="L413" s="22">
        <v>87</v>
      </c>
      <c r="M413" s="22">
        <v>21</v>
      </c>
      <c r="N413" s="22">
        <f>J413*0.87</f>
        <v>7.6560000000000006</v>
      </c>
      <c r="O413" s="22" t="s">
        <v>986</v>
      </c>
      <c r="P413" s="21" t="s">
        <v>1763</v>
      </c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8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8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8"/>
      <c r="DM413" s="58"/>
      <c r="DN413" s="58"/>
      <c r="DO413" s="58"/>
      <c r="DP413" s="58"/>
      <c r="DQ413" s="58"/>
      <c r="DR413" s="58"/>
      <c r="DS413" s="58"/>
      <c r="DT413" s="58"/>
    </row>
    <row r="414" spans="1:124" s="146" customFormat="1">
      <c r="A414" s="19"/>
      <c r="B414" s="20"/>
      <c r="C414" s="20"/>
      <c r="D414" s="21"/>
      <c r="E414" s="22"/>
      <c r="F414" s="22"/>
      <c r="G414" s="22"/>
      <c r="H414" s="19"/>
      <c r="I414" s="19" t="s">
        <v>1846</v>
      </c>
      <c r="J414" s="22">
        <v>3.2</v>
      </c>
      <c r="K414" s="22">
        <v>0.5</v>
      </c>
      <c r="L414" s="22">
        <v>10</v>
      </c>
      <c r="M414" s="22">
        <v>1</v>
      </c>
      <c r="N414" s="22">
        <v>0.31</v>
      </c>
      <c r="O414" s="22" t="s">
        <v>986</v>
      </c>
      <c r="P414" s="21" t="s">
        <v>1763</v>
      </c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  <c r="CG414" s="58"/>
      <c r="CH414" s="58"/>
      <c r="CI414" s="58"/>
      <c r="CJ414" s="58"/>
      <c r="CK414" s="58"/>
      <c r="CL414" s="58"/>
      <c r="CM414" s="58"/>
      <c r="CN414" s="58"/>
      <c r="CO414" s="58"/>
      <c r="CP414" s="58"/>
      <c r="CQ414" s="58"/>
      <c r="CR414" s="58"/>
      <c r="CS414" s="58"/>
      <c r="CT414" s="58"/>
      <c r="CU414" s="58"/>
      <c r="CV414" s="58"/>
      <c r="CW414" s="58"/>
      <c r="CX414" s="58"/>
      <c r="CY414" s="58"/>
      <c r="CZ414" s="58"/>
      <c r="DA414" s="58"/>
      <c r="DB414" s="58"/>
      <c r="DC414" s="58"/>
      <c r="DD414" s="58"/>
      <c r="DE414" s="58"/>
      <c r="DF414" s="58"/>
      <c r="DG414" s="58"/>
      <c r="DH414" s="58"/>
      <c r="DI414" s="58"/>
      <c r="DJ414" s="58"/>
      <c r="DK414" s="58"/>
      <c r="DL414" s="58"/>
      <c r="DM414" s="58"/>
      <c r="DN414" s="58"/>
      <c r="DO414" s="58"/>
      <c r="DP414" s="58"/>
      <c r="DQ414" s="58"/>
      <c r="DR414" s="58"/>
      <c r="DS414" s="58"/>
      <c r="DT414" s="58"/>
    </row>
    <row r="415" spans="1:124" s="146" customFormat="1" ht="14" thickBot="1">
      <c r="A415" s="19"/>
      <c r="B415" s="20"/>
      <c r="C415" s="20"/>
      <c r="D415" s="21"/>
      <c r="E415" s="22"/>
      <c r="F415" s="22"/>
      <c r="G415" s="22"/>
      <c r="H415" s="19"/>
      <c r="I415" s="38" t="s">
        <v>485</v>
      </c>
      <c r="J415" s="45">
        <v>9.1999999999999993</v>
      </c>
      <c r="K415" s="45">
        <v>0.1</v>
      </c>
      <c r="L415" s="45">
        <v>87</v>
      </c>
      <c r="M415" s="45">
        <v>2</v>
      </c>
      <c r="N415" s="45">
        <v>8</v>
      </c>
      <c r="O415" s="45">
        <v>0.2</v>
      </c>
      <c r="P415" s="21" t="s">
        <v>1763</v>
      </c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  <c r="CG415" s="58"/>
      <c r="CH415" s="58"/>
      <c r="CI415" s="58"/>
      <c r="CJ415" s="58"/>
      <c r="CK415" s="58"/>
      <c r="CL415" s="58"/>
      <c r="CM415" s="58"/>
      <c r="CN415" s="58"/>
      <c r="CO415" s="58"/>
      <c r="CP415" s="58"/>
      <c r="CQ415" s="58"/>
      <c r="CR415" s="58"/>
      <c r="CS415" s="58"/>
      <c r="CT415" s="58"/>
      <c r="CU415" s="58"/>
      <c r="CV415" s="58"/>
      <c r="CW415" s="58"/>
      <c r="CX415" s="58"/>
      <c r="CY415" s="58"/>
      <c r="CZ415" s="58"/>
      <c r="DA415" s="58"/>
      <c r="DB415" s="58"/>
      <c r="DC415" s="58"/>
      <c r="DD415" s="58"/>
      <c r="DE415" s="58"/>
      <c r="DF415" s="58"/>
      <c r="DG415" s="58"/>
      <c r="DH415" s="58"/>
      <c r="DI415" s="58"/>
      <c r="DJ415" s="58"/>
      <c r="DK415" s="58"/>
      <c r="DL415" s="58"/>
      <c r="DM415" s="58"/>
      <c r="DN415" s="58"/>
      <c r="DO415" s="58"/>
      <c r="DP415" s="58"/>
      <c r="DQ415" s="58"/>
      <c r="DR415" s="58"/>
      <c r="DS415" s="58"/>
      <c r="DT415" s="58"/>
    </row>
    <row r="416" spans="1:124" s="146" customFormat="1" ht="15">
      <c r="A416" s="3"/>
      <c r="B416" s="147"/>
      <c r="C416" s="147"/>
      <c r="D416" s="1"/>
      <c r="E416" s="74"/>
      <c r="F416" s="74"/>
      <c r="G416" s="74"/>
      <c r="H416" s="3"/>
      <c r="I416" s="47" t="s">
        <v>544</v>
      </c>
      <c r="J416" s="51">
        <f t="shared" ref="J416:J424" si="34">ROUND(AVERAGE(J380,J389,J398,J407),1)</f>
        <v>2.4</v>
      </c>
      <c r="K416" s="51">
        <f t="shared" ref="K416:K424" si="35">ROUND(STDEV(J380,J389,J398,J407),1)</f>
        <v>1.4</v>
      </c>
      <c r="L416" s="51">
        <f t="shared" ref="L416:L424" si="36">ROUND(AVERAGE(L380,L389,L398,L407),1)</f>
        <v>100</v>
      </c>
      <c r="M416" s="51">
        <f t="shared" ref="M416:M424" si="37">ROUND(STDEV(L380,L389,L398,L407),1)</f>
        <v>0</v>
      </c>
      <c r="N416" s="51">
        <f t="shared" ref="N416:N424" si="38">ROUND(AVERAGE(N380,N389,N398,N407),1)</f>
        <v>2.4</v>
      </c>
      <c r="O416" s="52">
        <f t="shared" ref="O416:O424" si="39">ROUND(STDEV(N380,N389,N398,N407),1)</f>
        <v>1.4</v>
      </c>
      <c r="P416" s="1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  <c r="CG416" s="58"/>
      <c r="CH416" s="58"/>
      <c r="CI416" s="58"/>
      <c r="CJ416" s="58"/>
      <c r="CK416" s="58"/>
      <c r="CL416" s="58"/>
      <c r="CM416" s="58"/>
      <c r="CN416" s="58"/>
      <c r="CO416" s="58"/>
      <c r="CP416" s="58"/>
      <c r="CQ416" s="58"/>
      <c r="CR416" s="58"/>
      <c r="CS416" s="58"/>
      <c r="CT416" s="58"/>
      <c r="CU416" s="58"/>
      <c r="CV416" s="58"/>
      <c r="CW416" s="58"/>
      <c r="CX416" s="58"/>
      <c r="CY416" s="58"/>
      <c r="CZ416" s="58"/>
      <c r="DA416" s="58"/>
      <c r="DB416" s="58"/>
      <c r="DC416" s="58"/>
      <c r="DD416" s="58"/>
      <c r="DE416" s="58"/>
      <c r="DF416" s="58"/>
      <c r="DG416" s="58"/>
      <c r="DH416" s="58"/>
      <c r="DI416" s="58"/>
      <c r="DJ416" s="58"/>
      <c r="DK416" s="58"/>
      <c r="DL416" s="58"/>
      <c r="DM416" s="58"/>
      <c r="DN416" s="58"/>
      <c r="DO416" s="58"/>
      <c r="DP416" s="58"/>
      <c r="DQ416" s="58"/>
      <c r="DR416" s="58"/>
      <c r="DS416" s="58"/>
      <c r="DT416" s="58"/>
    </row>
    <row r="417" spans="1:124" s="146" customFormat="1" ht="15">
      <c r="A417" s="3"/>
      <c r="B417" s="147"/>
      <c r="C417" s="147"/>
      <c r="D417" s="1"/>
      <c r="E417" s="74"/>
      <c r="F417" s="74"/>
      <c r="G417" s="74"/>
      <c r="H417" s="3"/>
      <c r="I417" s="48" t="s">
        <v>1843</v>
      </c>
      <c r="J417" s="53">
        <f t="shared" si="34"/>
        <v>1.9</v>
      </c>
      <c r="K417" s="53">
        <f t="shared" si="35"/>
        <v>1.9</v>
      </c>
      <c r="L417" s="53">
        <f t="shared" si="36"/>
        <v>92.3</v>
      </c>
      <c r="M417" s="53">
        <f t="shared" si="37"/>
        <v>5.0999999999999996</v>
      </c>
      <c r="N417" s="53">
        <f t="shared" si="38"/>
        <v>1.7</v>
      </c>
      <c r="O417" s="54">
        <f t="shared" si="39"/>
        <v>1.7</v>
      </c>
      <c r="P417" s="1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  <c r="CG417" s="58"/>
      <c r="CH417" s="58"/>
      <c r="CI417" s="58"/>
      <c r="CJ417" s="58"/>
      <c r="CK417" s="58"/>
      <c r="CL417" s="58"/>
      <c r="CM417" s="58"/>
      <c r="CN417" s="58"/>
      <c r="CO417" s="58"/>
      <c r="CP417" s="58"/>
      <c r="CQ417" s="58"/>
      <c r="CR417" s="58"/>
      <c r="CS417" s="58"/>
      <c r="CT417" s="58"/>
      <c r="CU417" s="58"/>
      <c r="CV417" s="58"/>
      <c r="CW417" s="58"/>
      <c r="CX417" s="58"/>
      <c r="CY417" s="58"/>
      <c r="CZ417" s="58"/>
      <c r="DA417" s="58"/>
      <c r="DB417" s="58"/>
      <c r="DC417" s="58"/>
      <c r="DD417" s="58"/>
      <c r="DE417" s="58"/>
      <c r="DF417" s="58"/>
      <c r="DG417" s="58"/>
      <c r="DH417" s="58"/>
      <c r="DI417" s="58"/>
      <c r="DJ417" s="58"/>
      <c r="DK417" s="58"/>
      <c r="DL417" s="58"/>
      <c r="DM417" s="58"/>
      <c r="DN417" s="58"/>
      <c r="DO417" s="58"/>
      <c r="DP417" s="58"/>
      <c r="DQ417" s="58"/>
      <c r="DR417" s="58"/>
      <c r="DS417" s="58"/>
      <c r="DT417" s="58"/>
    </row>
    <row r="418" spans="1:124" s="146" customFormat="1" ht="15">
      <c r="A418" s="3"/>
      <c r="B418" s="147"/>
      <c r="C418" s="147"/>
      <c r="D418" s="1"/>
      <c r="E418" s="74"/>
      <c r="F418" s="74"/>
      <c r="G418" s="74"/>
      <c r="H418" s="3"/>
      <c r="I418" s="48" t="s">
        <v>1796</v>
      </c>
      <c r="J418" s="53">
        <f t="shared" si="34"/>
        <v>0.3</v>
      </c>
      <c r="K418" s="53">
        <f t="shared" si="35"/>
        <v>0</v>
      </c>
      <c r="L418" s="53">
        <f t="shared" si="36"/>
        <v>84</v>
      </c>
      <c r="M418" s="53">
        <f t="shared" si="37"/>
        <v>7.1</v>
      </c>
      <c r="N418" s="53">
        <f t="shared" si="38"/>
        <v>0.3</v>
      </c>
      <c r="O418" s="54">
        <f t="shared" si="39"/>
        <v>0</v>
      </c>
      <c r="P418" s="1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8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8"/>
      <c r="DM418" s="58"/>
      <c r="DN418" s="58"/>
      <c r="DO418" s="58"/>
      <c r="DP418" s="58"/>
      <c r="DQ418" s="58"/>
      <c r="DR418" s="58"/>
      <c r="DS418" s="58"/>
      <c r="DT418" s="58"/>
    </row>
    <row r="419" spans="1:124" s="146" customFormat="1" ht="15">
      <c r="A419" s="3"/>
      <c r="B419" s="147"/>
      <c r="C419" s="147"/>
      <c r="D419" s="1"/>
      <c r="E419" s="74"/>
      <c r="F419" s="74"/>
      <c r="G419" s="74"/>
      <c r="H419" s="3"/>
      <c r="I419" s="48" t="s">
        <v>1461</v>
      </c>
      <c r="J419" s="53">
        <f t="shared" si="34"/>
        <v>0.6</v>
      </c>
      <c r="K419" s="53">
        <f t="shared" si="35"/>
        <v>0</v>
      </c>
      <c r="L419" s="53">
        <f t="shared" si="36"/>
        <v>57.5</v>
      </c>
      <c r="M419" s="53">
        <f t="shared" si="37"/>
        <v>6.4</v>
      </c>
      <c r="N419" s="53">
        <f t="shared" si="38"/>
        <v>0.4</v>
      </c>
      <c r="O419" s="54">
        <f t="shared" si="39"/>
        <v>0.1</v>
      </c>
      <c r="P419" s="1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  <c r="CQ419" s="58"/>
      <c r="CR419" s="58"/>
      <c r="CS419" s="58"/>
      <c r="CT419" s="58"/>
      <c r="CU419" s="58"/>
      <c r="CV419" s="58"/>
      <c r="CW419" s="58"/>
      <c r="CX419" s="58"/>
      <c r="CY419" s="58"/>
      <c r="CZ419" s="58"/>
      <c r="DA419" s="58"/>
      <c r="DB419" s="58"/>
      <c r="DC419" s="58"/>
      <c r="DD419" s="58"/>
      <c r="DE419" s="58"/>
      <c r="DF419" s="58"/>
      <c r="DG419" s="58"/>
      <c r="DH419" s="58"/>
      <c r="DI419" s="58"/>
      <c r="DJ419" s="58"/>
      <c r="DK419" s="58"/>
      <c r="DL419" s="58"/>
      <c r="DM419" s="58"/>
      <c r="DN419" s="58"/>
      <c r="DO419" s="58"/>
      <c r="DP419" s="58"/>
      <c r="DQ419" s="58"/>
      <c r="DR419" s="58"/>
      <c r="DS419" s="58"/>
      <c r="DT419" s="58"/>
    </row>
    <row r="420" spans="1:124" s="146" customFormat="1" ht="15">
      <c r="A420" s="3"/>
      <c r="B420" s="147"/>
      <c r="C420" s="147"/>
      <c r="D420" s="1"/>
      <c r="E420" s="74"/>
      <c r="F420" s="74"/>
      <c r="G420" s="74"/>
      <c r="H420" s="3"/>
      <c r="I420" s="48" t="s">
        <v>1865</v>
      </c>
      <c r="J420" s="53">
        <f t="shared" si="34"/>
        <v>0.9</v>
      </c>
      <c r="K420" s="53">
        <f t="shared" si="35"/>
        <v>0.1</v>
      </c>
      <c r="L420" s="53">
        <f t="shared" si="36"/>
        <v>40.5</v>
      </c>
      <c r="M420" s="53">
        <f t="shared" si="37"/>
        <v>2.1</v>
      </c>
      <c r="N420" s="53">
        <f t="shared" si="38"/>
        <v>0.4</v>
      </c>
      <c r="O420" s="54">
        <f t="shared" si="39"/>
        <v>0</v>
      </c>
      <c r="P420" s="1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  <c r="CG420" s="58"/>
      <c r="CH420" s="58"/>
      <c r="CI420" s="58"/>
      <c r="CJ420" s="58"/>
      <c r="CK420" s="58"/>
      <c r="CL420" s="58"/>
      <c r="CM420" s="58"/>
      <c r="CN420" s="58"/>
      <c r="CO420" s="58"/>
      <c r="CP420" s="58"/>
      <c r="CQ420" s="58"/>
      <c r="CR420" s="58"/>
      <c r="CS420" s="58"/>
      <c r="CT420" s="58"/>
      <c r="CU420" s="58"/>
      <c r="CV420" s="58"/>
      <c r="CW420" s="58"/>
      <c r="CX420" s="58"/>
      <c r="CY420" s="58"/>
      <c r="CZ420" s="58"/>
      <c r="DA420" s="58"/>
      <c r="DB420" s="58"/>
      <c r="DC420" s="58"/>
      <c r="DD420" s="58"/>
      <c r="DE420" s="58"/>
      <c r="DF420" s="58"/>
      <c r="DG420" s="58"/>
      <c r="DH420" s="58"/>
      <c r="DI420" s="58"/>
      <c r="DJ420" s="58"/>
      <c r="DK420" s="58"/>
      <c r="DL420" s="58"/>
      <c r="DM420" s="58"/>
      <c r="DN420" s="58"/>
      <c r="DO420" s="58"/>
      <c r="DP420" s="58"/>
      <c r="DQ420" s="58"/>
      <c r="DR420" s="58"/>
      <c r="DS420" s="58"/>
      <c r="DT420" s="58"/>
    </row>
    <row r="421" spans="1:124" s="146" customFormat="1" ht="15">
      <c r="A421" s="3"/>
      <c r="B421" s="147"/>
      <c r="C421" s="147"/>
      <c r="D421" s="1"/>
      <c r="E421" s="74"/>
      <c r="F421" s="74"/>
      <c r="G421" s="74"/>
      <c r="H421" s="3"/>
      <c r="I421" s="48" t="s">
        <v>1658</v>
      </c>
      <c r="J421" s="53">
        <f t="shared" si="34"/>
        <v>1.8</v>
      </c>
      <c r="K421" s="53">
        <f t="shared" si="35"/>
        <v>0.1</v>
      </c>
      <c r="L421" s="53">
        <f t="shared" si="36"/>
        <v>61</v>
      </c>
      <c r="M421" s="53">
        <f t="shared" si="37"/>
        <v>8.5</v>
      </c>
      <c r="N421" s="53">
        <f t="shared" si="38"/>
        <v>1.1000000000000001</v>
      </c>
      <c r="O421" s="54">
        <f t="shared" si="39"/>
        <v>0.1</v>
      </c>
      <c r="P421" s="1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  <c r="CG421" s="58"/>
      <c r="CH421" s="58"/>
      <c r="CI421" s="58"/>
      <c r="CJ421" s="58"/>
      <c r="CK421" s="58"/>
      <c r="CL421" s="58"/>
      <c r="CM421" s="58"/>
      <c r="CN421" s="58"/>
      <c r="CO421" s="58"/>
      <c r="CP421" s="58"/>
      <c r="CQ421" s="58"/>
      <c r="CR421" s="58"/>
      <c r="CS421" s="58"/>
      <c r="CT421" s="58"/>
      <c r="CU421" s="58"/>
      <c r="CV421" s="58"/>
      <c r="CW421" s="58"/>
      <c r="CX421" s="58"/>
      <c r="CY421" s="58"/>
      <c r="CZ421" s="58"/>
      <c r="DA421" s="58"/>
      <c r="DB421" s="58"/>
      <c r="DC421" s="58"/>
      <c r="DD421" s="58"/>
      <c r="DE421" s="58"/>
      <c r="DF421" s="58"/>
      <c r="DG421" s="58"/>
      <c r="DH421" s="58"/>
      <c r="DI421" s="58"/>
      <c r="DJ421" s="58"/>
      <c r="DK421" s="58"/>
      <c r="DL421" s="58"/>
      <c r="DM421" s="58"/>
      <c r="DN421" s="58"/>
      <c r="DO421" s="58"/>
      <c r="DP421" s="58"/>
      <c r="DQ421" s="58"/>
      <c r="DR421" s="58"/>
      <c r="DS421" s="58"/>
      <c r="DT421" s="58"/>
    </row>
    <row r="422" spans="1:124" s="146" customFormat="1" ht="15">
      <c r="A422" s="3"/>
      <c r="B422" s="147"/>
      <c r="C422" s="147"/>
      <c r="D422" s="1"/>
      <c r="E422" s="74"/>
      <c r="F422" s="74"/>
      <c r="G422" s="74"/>
      <c r="H422" s="3"/>
      <c r="I422" s="48" t="s">
        <v>1756</v>
      </c>
      <c r="J422" s="53">
        <f t="shared" si="34"/>
        <v>8.6</v>
      </c>
      <c r="K422" s="53">
        <f t="shared" si="35"/>
        <v>2.6</v>
      </c>
      <c r="L422" s="53">
        <f t="shared" si="36"/>
        <v>92</v>
      </c>
      <c r="M422" s="53">
        <f t="shared" si="37"/>
        <v>4.0999999999999996</v>
      </c>
      <c r="N422" s="53">
        <f t="shared" si="38"/>
        <v>7.8</v>
      </c>
      <c r="O422" s="54">
        <f t="shared" si="39"/>
        <v>2.5</v>
      </c>
      <c r="P422" s="1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  <c r="CG422" s="58"/>
      <c r="CH422" s="58"/>
      <c r="CI422" s="58"/>
      <c r="CJ422" s="58"/>
      <c r="CK422" s="58"/>
      <c r="CL422" s="58"/>
      <c r="CM422" s="58"/>
      <c r="CN422" s="58"/>
      <c r="CO422" s="58"/>
      <c r="CP422" s="58"/>
      <c r="CQ422" s="58"/>
      <c r="CR422" s="58"/>
      <c r="CS422" s="58"/>
      <c r="CT422" s="58"/>
      <c r="CU422" s="58"/>
      <c r="CV422" s="58"/>
      <c r="CW422" s="58"/>
      <c r="CX422" s="58"/>
      <c r="CY422" s="58"/>
      <c r="CZ422" s="58"/>
      <c r="DA422" s="58"/>
      <c r="DB422" s="58"/>
      <c r="DC422" s="58"/>
      <c r="DD422" s="58"/>
      <c r="DE422" s="58"/>
      <c r="DF422" s="58"/>
      <c r="DG422" s="58"/>
      <c r="DH422" s="58"/>
      <c r="DI422" s="58"/>
      <c r="DJ422" s="58"/>
      <c r="DK422" s="58"/>
      <c r="DL422" s="58"/>
      <c r="DM422" s="58"/>
      <c r="DN422" s="58"/>
      <c r="DO422" s="58"/>
      <c r="DP422" s="58"/>
      <c r="DQ422" s="58"/>
      <c r="DR422" s="58"/>
      <c r="DS422" s="58"/>
      <c r="DT422" s="58"/>
    </row>
    <row r="423" spans="1:124" s="146" customFormat="1" ht="15">
      <c r="A423" s="3"/>
      <c r="B423" s="147"/>
      <c r="C423" s="147"/>
      <c r="D423" s="1"/>
      <c r="E423" s="74"/>
      <c r="F423" s="74"/>
      <c r="G423" s="74"/>
      <c r="H423" s="3"/>
      <c r="I423" s="48" t="s">
        <v>1757</v>
      </c>
      <c r="J423" s="53">
        <f t="shared" si="34"/>
        <v>3.7</v>
      </c>
      <c r="K423" s="53">
        <f t="shared" si="35"/>
        <v>2.2999999999999998</v>
      </c>
      <c r="L423" s="53">
        <f t="shared" si="36"/>
        <v>24</v>
      </c>
      <c r="M423" s="53">
        <f t="shared" si="37"/>
        <v>12.8</v>
      </c>
      <c r="N423" s="53">
        <f t="shared" si="38"/>
        <v>1</v>
      </c>
      <c r="O423" s="54">
        <f t="shared" si="39"/>
        <v>1</v>
      </c>
      <c r="P423" s="1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8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8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8"/>
      <c r="DM423" s="58"/>
      <c r="DN423" s="58"/>
      <c r="DO423" s="58"/>
      <c r="DP423" s="58"/>
      <c r="DQ423" s="58"/>
      <c r="DR423" s="58"/>
      <c r="DS423" s="58"/>
      <c r="DT423" s="58"/>
    </row>
    <row r="424" spans="1:124" s="146" customFormat="1" ht="15">
      <c r="A424" s="3"/>
      <c r="B424" s="147"/>
      <c r="C424" s="147"/>
      <c r="D424" s="1"/>
      <c r="E424" s="74"/>
      <c r="F424" s="74"/>
      <c r="G424" s="74"/>
      <c r="H424" s="3"/>
      <c r="I424" s="48" t="s">
        <v>556</v>
      </c>
      <c r="J424" s="53">
        <f t="shared" si="34"/>
        <v>8.9</v>
      </c>
      <c r="K424" s="53">
        <f t="shared" si="35"/>
        <v>3.1</v>
      </c>
      <c r="L424" s="53">
        <f t="shared" si="36"/>
        <v>92</v>
      </c>
      <c r="M424" s="53">
        <f t="shared" si="37"/>
        <v>4.0999999999999996</v>
      </c>
      <c r="N424" s="53">
        <f t="shared" si="38"/>
        <v>8.1999999999999993</v>
      </c>
      <c r="O424" s="54">
        <f t="shared" si="39"/>
        <v>2.8</v>
      </c>
      <c r="P424" s="1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  <c r="CG424" s="58"/>
      <c r="CH424" s="58"/>
      <c r="CI424" s="58"/>
      <c r="CJ424" s="58"/>
      <c r="CK424" s="58"/>
      <c r="CL424" s="58"/>
      <c r="CM424" s="58"/>
      <c r="CN424" s="58"/>
      <c r="CO424" s="58"/>
      <c r="CP424" s="58"/>
      <c r="CQ424" s="58"/>
      <c r="CR424" s="58"/>
      <c r="CS424" s="58"/>
      <c r="CT424" s="58"/>
      <c r="CU424" s="58"/>
      <c r="CV424" s="58"/>
      <c r="CW424" s="58"/>
      <c r="CX424" s="58"/>
      <c r="CY424" s="58"/>
      <c r="CZ424" s="58"/>
      <c r="DA424" s="58"/>
      <c r="DB424" s="58"/>
      <c r="DC424" s="58"/>
      <c r="DD424" s="58"/>
      <c r="DE424" s="58"/>
      <c r="DF424" s="58"/>
      <c r="DG424" s="58"/>
      <c r="DH424" s="58"/>
      <c r="DI424" s="58"/>
      <c r="DJ424" s="58"/>
      <c r="DK424" s="58"/>
      <c r="DL424" s="58"/>
      <c r="DM424" s="58"/>
      <c r="DN424" s="58"/>
      <c r="DO424" s="58"/>
      <c r="DP424" s="58"/>
      <c r="DQ424" s="58"/>
      <c r="DR424" s="58"/>
      <c r="DS424" s="58"/>
      <c r="DT424" s="58"/>
    </row>
    <row r="425" spans="1:124" s="146" customFormat="1" ht="15">
      <c r="A425" s="3"/>
      <c r="B425" s="147"/>
      <c r="C425" s="147"/>
      <c r="D425" s="1"/>
      <c r="E425" s="74"/>
      <c r="F425" s="74"/>
      <c r="G425" s="74"/>
      <c r="H425" s="3"/>
      <c r="I425" s="48" t="s">
        <v>1841</v>
      </c>
      <c r="J425" s="53">
        <f>ROUND(AVERAGE(J388,J397,J406),1)</f>
        <v>8.6999999999999993</v>
      </c>
      <c r="K425" s="53">
        <f>ROUND(STDEV(N219,N229,N239,N249,N259,N269),1)</f>
        <v>1.7</v>
      </c>
      <c r="L425" s="53">
        <f>ROUND(AVERAGE(L388,L397,L406),1)</f>
        <v>93.7</v>
      </c>
      <c r="M425" s="53">
        <f>ROUND(STDEV(L388,L397,L406),1)</f>
        <v>2.9</v>
      </c>
      <c r="N425" s="53">
        <f>ROUND(AVERAGE(N388,N397,N406),1)</f>
        <v>8.1999999999999993</v>
      </c>
      <c r="O425" s="54">
        <f>ROUND(STDEV(N388,N397,N406),1)</f>
        <v>3.4</v>
      </c>
      <c r="P425" s="1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  <c r="CG425" s="58"/>
      <c r="CH425" s="58"/>
      <c r="CI425" s="58"/>
      <c r="CJ425" s="58"/>
      <c r="CK425" s="58"/>
      <c r="CL425" s="58"/>
      <c r="CM425" s="58"/>
      <c r="CN425" s="58"/>
      <c r="CO425" s="58"/>
      <c r="CP425" s="58"/>
      <c r="CQ425" s="58"/>
      <c r="CR425" s="58"/>
      <c r="CS425" s="58"/>
      <c r="CT425" s="58"/>
      <c r="CU425" s="58"/>
      <c r="CV425" s="58"/>
      <c r="CW425" s="58"/>
      <c r="CX425" s="58"/>
      <c r="CY425" s="58"/>
      <c r="CZ425" s="58"/>
      <c r="DA425" s="58"/>
      <c r="DB425" s="58"/>
      <c r="DC425" s="58"/>
      <c r="DD425" s="58"/>
      <c r="DE425" s="58"/>
      <c r="DF425" s="58"/>
      <c r="DG425" s="58"/>
      <c r="DH425" s="58"/>
      <c r="DI425" s="58"/>
      <c r="DJ425" s="58"/>
      <c r="DK425" s="58"/>
      <c r="DL425" s="58"/>
      <c r="DM425" s="58"/>
      <c r="DN425" s="58"/>
      <c r="DO425" s="58"/>
      <c r="DP425" s="58"/>
      <c r="DQ425" s="58"/>
      <c r="DR425" s="58"/>
      <c r="DS425" s="58"/>
      <c r="DT425" s="58"/>
    </row>
    <row r="426" spans="1:124" s="146" customFormat="1" ht="16" thickBot="1">
      <c r="A426" s="3"/>
      <c r="B426" s="147"/>
      <c r="C426" s="147"/>
      <c r="D426" s="1"/>
      <c r="E426" s="74"/>
      <c r="F426" s="74"/>
      <c r="G426" s="74"/>
      <c r="H426" s="3"/>
      <c r="I426" s="49" t="s">
        <v>1840</v>
      </c>
      <c r="J426" s="55">
        <f>J415</f>
        <v>9.1999999999999993</v>
      </c>
      <c r="K426" s="55" t="s">
        <v>1755</v>
      </c>
      <c r="L426" s="55">
        <f>L415</f>
        <v>87</v>
      </c>
      <c r="M426" s="55" t="s">
        <v>2000</v>
      </c>
      <c r="N426" s="55">
        <f>N415</f>
        <v>8</v>
      </c>
      <c r="O426" s="56" t="s">
        <v>2000</v>
      </c>
      <c r="P426" s="1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  <c r="CG426" s="58"/>
      <c r="CH426" s="58"/>
      <c r="CI426" s="58"/>
      <c r="CJ426" s="58"/>
      <c r="CK426" s="58"/>
      <c r="CL426" s="58"/>
      <c r="CM426" s="58"/>
      <c r="CN426" s="58"/>
      <c r="CO426" s="58"/>
      <c r="CP426" s="58"/>
      <c r="CQ426" s="58"/>
      <c r="CR426" s="58"/>
      <c r="CS426" s="58"/>
      <c r="CT426" s="58"/>
      <c r="CU426" s="58"/>
      <c r="CV426" s="58"/>
      <c r="CW426" s="58"/>
      <c r="CX426" s="58"/>
      <c r="CY426" s="58"/>
      <c r="CZ426" s="58"/>
      <c r="DA426" s="58"/>
      <c r="DB426" s="58"/>
      <c r="DC426" s="58"/>
      <c r="DD426" s="58"/>
      <c r="DE426" s="58"/>
      <c r="DF426" s="58"/>
      <c r="DG426" s="58"/>
      <c r="DH426" s="58"/>
      <c r="DI426" s="58"/>
      <c r="DJ426" s="58"/>
      <c r="DK426" s="58"/>
      <c r="DL426" s="58"/>
      <c r="DM426" s="58"/>
      <c r="DN426" s="58"/>
      <c r="DO426" s="58"/>
      <c r="DP426" s="58"/>
      <c r="DQ426" s="58"/>
      <c r="DR426" s="58"/>
      <c r="DS426" s="58"/>
      <c r="DT426" s="58"/>
    </row>
    <row r="427" spans="1:124" s="58" customFormat="1">
      <c r="A427" s="35"/>
      <c r="B427" s="147"/>
      <c r="C427" s="147"/>
      <c r="D427" s="1"/>
      <c r="E427" s="74"/>
      <c r="F427" s="74"/>
      <c r="G427" s="74"/>
      <c r="H427" s="3"/>
      <c r="I427" s="3"/>
      <c r="J427" s="74"/>
      <c r="K427" s="74"/>
      <c r="L427" s="74"/>
      <c r="M427" s="74"/>
      <c r="N427" s="74"/>
      <c r="O427" s="74"/>
      <c r="P427" s="1"/>
    </row>
    <row r="428" spans="1:124" s="58" customFormat="1">
      <c r="A428" s="289"/>
      <c r="B428" s="290"/>
      <c r="C428" s="290"/>
      <c r="D428" s="291"/>
      <c r="E428" s="292"/>
      <c r="F428" s="292"/>
      <c r="G428" s="292"/>
      <c r="H428" s="293"/>
      <c r="I428" s="293"/>
      <c r="J428" s="292"/>
      <c r="K428" s="292"/>
      <c r="L428" s="292"/>
      <c r="M428" s="292"/>
      <c r="N428" s="292"/>
      <c r="O428" s="292"/>
      <c r="P428" s="291"/>
    </row>
    <row r="429" spans="1:124" s="58" customFormat="1">
      <c r="A429" s="35"/>
      <c r="B429" s="147"/>
      <c r="C429" s="147"/>
      <c r="D429" s="1"/>
      <c r="E429" s="74"/>
      <c r="F429" s="74"/>
      <c r="G429" s="74"/>
      <c r="H429" s="3"/>
      <c r="I429" s="3"/>
      <c r="J429" s="74"/>
      <c r="K429" s="74"/>
      <c r="L429" s="74"/>
      <c r="M429" s="74"/>
      <c r="N429" s="74"/>
      <c r="O429" s="74"/>
      <c r="P429" s="1"/>
    </row>
    <row r="430" spans="1:124" s="26" customFormat="1">
      <c r="A430" s="19" t="s">
        <v>1758</v>
      </c>
      <c r="B430" s="20" t="s">
        <v>1759</v>
      </c>
      <c r="C430" s="20" t="s">
        <v>1867</v>
      </c>
      <c r="D430" s="21" t="s">
        <v>1868</v>
      </c>
      <c r="E430" s="22" t="s">
        <v>1869</v>
      </c>
      <c r="F430" s="22">
        <v>1</v>
      </c>
      <c r="G430" s="22" t="s">
        <v>1046</v>
      </c>
      <c r="H430" s="19" t="s">
        <v>1363</v>
      </c>
      <c r="I430" s="19" t="s">
        <v>1870</v>
      </c>
      <c r="J430" s="22">
        <v>3.26</v>
      </c>
      <c r="K430" s="22">
        <v>0.45900000000000002</v>
      </c>
      <c r="L430" s="22">
        <v>83</v>
      </c>
      <c r="M430" s="22" t="s">
        <v>253</v>
      </c>
      <c r="N430" s="22">
        <f t="shared" ref="N430:N453" si="40">J430*(L430/100)</f>
        <v>2.7057999999999995</v>
      </c>
      <c r="O430" s="22" t="s">
        <v>253</v>
      </c>
      <c r="P430" s="21" t="s">
        <v>1871</v>
      </c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</row>
    <row r="431" spans="1:124" s="26" customFormat="1">
      <c r="A431" s="19"/>
      <c r="B431" s="20"/>
      <c r="C431" s="20"/>
      <c r="D431" s="21"/>
      <c r="E431" s="22"/>
      <c r="F431" s="22"/>
      <c r="G431" s="22"/>
      <c r="H431" s="19"/>
      <c r="I431" s="19" t="s">
        <v>1883</v>
      </c>
      <c r="J431" s="22">
        <v>4.7E-2</v>
      </c>
      <c r="K431" s="22">
        <v>1E-3</v>
      </c>
      <c r="L431" s="22">
        <v>4.5999999999999996</v>
      </c>
      <c r="M431" s="22" t="s">
        <v>253</v>
      </c>
      <c r="N431" s="22">
        <f t="shared" si="40"/>
        <v>2.1619999999999999E-3</v>
      </c>
      <c r="O431" s="22" t="s">
        <v>1884</v>
      </c>
      <c r="P431" s="21" t="s">
        <v>1871</v>
      </c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</row>
    <row r="432" spans="1:124" s="26" customFormat="1">
      <c r="A432" s="19"/>
      <c r="B432" s="20"/>
      <c r="C432" s="20"/>
      <c r="D432" s="21"/>
      <c r="E432" s="22"/>
      <c r="F432" s="22"/>
      <c r="G432" s="22"/>
      <c r="H432" s="19"/>
      <c r="I432" s="19" t="s">
        <v>485</v>
      </c>
      <c r="J432" s="22">
        <v>3.3</v>
      </c>
      <c r="K432" s="22">
        <v>0.45</v>
      </c>
      <c r="L432" s="22">
        <v>81.900000000000006</v>
      </c>
      <c r="M432" s="22" t="s">
        <v>1884</v>
      </c>
      <c r="N432" s="22">
        <f t="shared" si="40"/>
        <v>2.7027000000000001</v>
      </c>
      <c r="O432" s="22" t="s">
        <v>1884</v>
      </c>
      <c r="P432" s="21" t="s">
        <v>1871</v>
      </c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</row>
    <row r="433" spans="1:124" s="26" customFormat="1">
      <c r="A433" s="19" t="s">
        <v>1758</v>
      </c>
      <c r="B433" s="20" t="s">
        <v>1759</v>
      </c>
      <c r="C433" s="20" t="s">
        <v>1867</v>
      </c>
      <c r="D433" s="21" t="s">
        <v>1868</v>
      </c>
      <c r="E433" s="22" t="s">
        <v>1869</v>
      </c>
      <c r="F433" s="22">
        <v>1</v>
      </c>
      <c r="G433" s="22" t="s">
        <v>1046</v>
      </c>
      <c r="H433" s="19" t="s">
        <v>1363</v>
      </c>
      <c r="I433" s="19" t="s">
        <v>1401</v>
      </c>
      <c r="J433" s="22">
        <v>2.56</v>
      </c>
      <c r="K433" s="22">
        <v>0.90700000000000003</v>
      </c>
      <c r="L433" s="22">
        <v>96.8</v>
      </c>
      <c r="M433" s="22" t="s">
        <v>1884</v>
      </c>
      <c r="N433" s="22">
        <f t="shared" si="40"/>
        <v>2.4780799999999998</v>
      </c>
      <c r="O433" s="22" t="s">
        <v>1884</v>
      </c>
      <c r="P433" s="21" t="s">
        <v>1768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</row>
    <row r="434" spans="1:124" s="26" customFormat="1">
      <c r="A434" s="19"/>
      <c r="B434" s="20"/>
      <c r="C434" s="20"/>
      <c r="D434" s="21"/>
      <c r="E434" s="22"/>
      <c r="F434" s="22"/>
      <c r="G434" s="22"/>
      <c r="H434" s="19"/>
      <c r="I434" s="19" t="s">
        <v>1883</v>
      </c>
      <c r="J434" s="22">
        <v>0.70699999999999996</v>
      </c>
      <c r="K434" s="22">
        <v>1.2699999999999999E-2</v>
      </c>
      <c r="L434" s="22">
        <v>2.9</v>
      </c>
      <c r="M434" s="22" t="s">
        <v>1884</v>
      </c>
      <c r="N434" s="22">
        <f t="shared" si="40"/>
        <v>2.0502999999999997E-2</v>
      </c>
      <c r="O434" s="22" t="s">
        <v>1884</v>
      </c>
      <c r="P434" s="21" t="s">
        <v>1768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</row>
    <row r="435" spans="1:124" s="26" customFormat="1">
      <c r="A435" s="19"/>
      <c r="B435" s="20"/>
      <c r="C435" s="20"/>
      <c r="D435" s="21"/>
      <c r="E435" s="22"/>
      <c r="F435" s="22"/>
      <c r="G435" s="22"/>
      <c r="H435" s="19"/>
      <c r="I435" s="19" t="s">
        <v>485</v>
      </c>
      <c r="J435" s="22">
        <v>3.3</v>
      </c>
      <c r="K435" s="22">
        <v>0.7</v>
      </c>
      <c r="L435" s="22">
        <v>76</v>
      </c>
      <c r="M435" s="22" t="s">
        <v>1884</v>
      </c>
      <c r="N435" s="22">
        <f t="shared" si="40"/>
        <v>2.508</v>
      </c>
      <c r="O435" s="22" t="s">
        <v>1884</v>
      </c>
      <c r="P435" s="21" t="s">
        <v>1768</v>
      </c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</row>
    <row r="436" spans="1:124" s="26" customFormat="1">
      <c r="A436" s="19" t="s">
        <v>1758</v>
      </c>
      <c r="B436" s="20" t="s">
        <v>1759</v>
      </c>
      <c r="C436" s="20" t="s">
        <v>1867</v>
      </c>
      <c r="D436" s="21" t="s">
        <v>1868</v>
      </c>
      <c r="E436" s="22" t="s">
        <v>1869</v>
      </c>
      <c r="F436" s="22">
        <v>1</v>
      </c>
      <c r="G436" s="22" t="s">
        <v>1046</v>
      </c>
      <c r="H436" s="19" t="s">
        <v>1363</v>
      </c>
      <c r="I436" s="19" t="s">
        <v>1401</v>
      </c>
      <c r="J436" s="22">
        <v>4.1769999999999996</v>
      </c>
      <c r="K436" s="22">
        <v>0.77</v>
      </c>
      <c r="L436" s="22">
        <v>93.6</v>
      </c>
      <c r="M436" s="22" t="s">
        <v>1884</v>
      </c>
      <c r="N436" s="22">
        <f t="shared" si="40"/>
        <v>3.9096719999999996</v>
      </c>
      <c r="O436" s="22" t="s">
        <v>1884</v>
      </c>
      <c r="P436" s="21" t="s">
        <v>1723</v>
      </c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</row>
    <row r="437" spans="1:124" s="26" customFormat="1">
      <c r="A437" s="19"/>
      <c r="B437" s="20"/>
      <c r="C437" s="20"/>
      <c r="D437" s="21"/>
      <c r="E437" s="22"/>
      <c r="F437" s="22"/>
      <c r="G437" s="22"/>
      <c r="H437" s="19"/>
      <c r="I437" s="19" t="s">
        <v>1883</v>
      </c>
      <c r="J437" s="22">
        <v>3.86</v>
      </c>
      <c r="K437" s="22">
        <v>0.153</v>
      </c>
      <c r="L437" s="22">
        <v>1</v>
      </c>
      <c r="M437" s="22" t="s">
        <v>1884</v>
      </c>
      <c r="N437" s="22">
        <f t="shared" si="40"/>
        <v>3.8600000000000002E-2</v>
      </c>
      <c r="O437" s="22" t="s">
        <v>1884</v>
      </c>
      <c r="P437" s="21" t="s">
        <v>1723</v>
      </c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</row>
    <row r="438" spans="1:124" s="26" customFormat="1">
      <c r="A438" s="19"/>
      <c r="B438" s="20"/>
      <c r="C438" s="20"/>
      <c r="D438" s="21"/>
      <c r="E438" s="22"/>
      <c r="F438" s="22"/>
      <c r="G438" s="22"/>
      <c r="H438" s="19"/>
      <c r="I438" s="19" t="s">
        <v>485</v>
      </c>
      <c r="J438" s="22">
        <v>8</v>
      </c>
      <c r="K438" s="22">
        <v>0.5</v>
      </c>
      <c r="L438" s="22">
        <v>49</v>
      </c>
      <c r="M438" s="22" t="s">
        <v>1884</v>
      </c>
      <c r="N438" s="22">
        <f t="shared" si="40"/>
        <v>3.92</v>
      </c>
      <c r="O438" s="22" t="s">
        <v>1884</v>
      </c>
      <c r="P438" s="21" t="s">
        <v>1723</v>
      </c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</row>
    <row r="439" spans="1:124" s="26" customFormat="1">
      <c r="A439" s="19" t="s">
        <v>1758</v>
      </c>
      <c r="B439" s="20" t="s">
        <v>1759</v>
      </c>
      <c r="C439" s="20" t="s">
        <v>1867</v>
      </c>
      <c r="D439" s="21" t="s">
        <v>1868</v>
      </c>
      <c r="E439" s="22" t="s">
        <v>1869</v>
      </c>
      <c r="F439" s="22">
        <v>1</v>
      </c>
      <c r="G439" s="22" t="s">
        <v>1046</v>
      </c>
      <c r="H439" s="19" t="s">
        <v>1363</v>
      </c>
      <c r="I439" s="19" t="s">
        <v>1401</v>
      </c>
      <c r="J439" s="22">
        <v>2.1</v>
      </c>
      <c r="K439" s="22">
        <v>0.33500000000000002</v>
      </c>
      <c r="L439" s="22">
        <v>87.6</v>
      </c>
      <c r="M439" s="22" t="s">
        <v>1884</v>
      </c>
      <c r="N439" s="22">
        <f t="shared" si="40"/>
        <v>1.8395999999999999</v>
      </c>
      <c r="O439" s="22" t="s">
        <v>1884</v>
      </c>
      <c r="P439" s="21" t="s">
        <v>1695</v>
      </c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</row>
    <row r="440" spans="1:124" s="26" customFormat="1">
      <c r="A440" s="19"/>
      <c r="B440" s="20"/>
      <c r="C440" s="20"/>
      <c r="D440" s="21"/>
      <c r="E440" s="22"/>
      <c r="F440" s="22"/>
      <c r="G440" s="22"/>
      <c r="H440" s="19"/>
      <c r="I440" s="19" t="s">
        <v>1883</v>
      </c>
      <c r="J440" s="22">
        <v>9.6</v>
      </c>
      <c r="K440" s="22">
        <v>1.3</v>
      </c>
      <c r="L440" s="22">
        <v>0.5</v>
      </c>
      <c r="M440" s="22" t="s">
        <v>1884</v>
      </c>
      <c r="N440" s="22">
        <f t="shared" si="40"/>
        <v>4.8000000000000001E-2</v>
      </c>
      <c r="O440" s="22" t="s">
        <v>1884</v>
      </c>
      <c r="P440" s="21" t="s">
        <v>1695</v>
      </c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</row>
    <row r="441" spans="1:124" s="26" customFormat="1">
      <c r="A441" s="19"/>
      <c r="B441" s="20"/>
      <c r="C441" s="20"/>
      <c r="D441" s="21"/>
      <c r="E441" s="22"/>
      <c r="F441" s="22"/>
      <c r="G441" s="22"/>
      <c r="H441" s="19"/>
      <c r="I441" s="19" t="s">
        <v>485</v>
      </c>
      <c r="J441" s="22">
        <v>11.7</v>
      </c>
      <c r="K441" s="22">
        <v>1.1000000000000001</v>
      </c>
      <c r="L441" s="22">
        <v>16</v>
      </c>
      <c r="M441" s="22" t="s">
        <v>1884</v>
      </c>
      <c r="N441" s="22">
        <f t="shared" si="40"/>
        <v>1.8719999999999999</v>
      </c>
      <c r="O441" s="22" t="s">
        <v>1884</v>
      </c>
      <c r="P441" s="21" t="s">
        <v>1695</v>
      </c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</row>
    <row r="442" spans="1:124" s="26" customFormat="1">
      <c r="A442" s="19" t="s">
        <v>1758</v>
      </c>
      <c r="B442" s="20" t="s">
        <v>1759</v>
      </c>
      <c r="C442" s="20" t="s">
        <v>1867</v>
      </c>
      <c r="D442" s="21" t="s">
        <v>1868</v>
      </c>
      <c r="E442" s="22" t="s">
        <v>1869</v>
      </c>
      <c r="F442" s="22">
        <v>1</v>
      </c>
      <c r="G442" s="22" t="s">
        <v>1046</v>
      </c>
      <c r="H442" s="19" t="s">
        <v>1363</v>
      </c>
      <c r="I442" s="19" t="s">
        <v>1401</v>
      </c>
      <c r="J442" s="22">
        <v>1.538</v>
      </c>
      <c r="K442" s="22">
        <v>0.44900000000000001</v>
      </c>
      <c r="L442" s="22">
        <v>92.6</v>
      </c>
      <c r="M442" s="22" t="s">
        <v>1884</v>
      </c>
      <c r="N442" s="22">
        <f t="shared" si="40"/>
        <v>1.424188</v>
      </c>
      <c r="O442" s="22" t="s">
        <v>1884</v>
      </c>
      <c r="P442" s="21" t="s">
        <v>1806</v>
      </c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</row>
    <row r="443" spans="1:124" s="26" customFormat="1">
      <c r="A443" s="19"/>
      <c r="B443" s="20"/>
      <c r="C443" s="20"/>
      <c r="D443" s="21"/>
      <c r="E443" s="22"/>
      <c r="F443" s="22"/>
      <c r="G443" s="22"/>
      <c r="H443" s="19"/>
      <c r="I443" s="19" t="s">
        <v>1883</v>
      </c>
      <c r="J443" s="22">
        <v>8.8999999999999996E-2</v>
      </c>
      <c r="K443" s="22">
        <v>7.7999999999999996E-3</v>
      </c>
      <c r="L443" s="22">
        <v>0.5</v>
      </c>
      <c r="M443" s="22" t="s">
        <v>1884</v>
      </c>
      <c r="N443" s="22">
        <f t="shared" si="40"/>
        <v>4.4499999999999997E-4</v>
      </c>
      <c r="O443" s="22" t="s">
        <v>1884</v>
      </c>
      <c r="P443" s="21" t="s">
        <v>1806</v>
      </c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</row>
    <row r="444" spans="1:124" s="26" customFormat="1">
      <c r="A444" s="19"/>
      <c r="B444" s="20"/>
      <c r="C444" s="20"/>
      <c r="D444" s="21"/>
      <c r="E444" s="22"/>
      <c r="F444" s="22"/>
      <c r="G444" s="22"/>
      <c r="H444" s="19"/>
      <c r="I444" s="19" t="s">
        <v>485</v>
      </c>
      <c r="J444" s="22">
        <v>1.6</v>
      </c>
      <c r="K444" s="22">
        <v>0.4</v>
      </c>
      <c r="L444" s="22">
        <v>88</v>
      </c>
      <c r="M444" s="22" t="s">
        <v>1884</v>
      </c>
      <c r="N444" s="22">
        <f t="shared" si="40"/>
        <v>1.4080000000000001</v>
      </c>
      <c r="O444" s="22" t="s">
        <v>1884</v>
      </c>
      <c r="P444" s="21" t="s">
        <v>1806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</row>
    <row r="445" spans="1:124" s="26" customFormat="1">
      <c r="A445" s="19" t="s">
        <v>1758</v>
      </c>
      <c r="B445" s="20" t="s">
        <v>1759</v>
      </c>
      <c r="C445" s="20" t="s">
        <v>1867</v>
      </c>
      <c r="D445" s="21" t="s">
        <v>1868</v>
      </c>
      <c r="E445" s="22" t="s">
        <v>1869</v>
      </c>
      <c r="F445" s="22">
        <v>1</v>
      </c>
      <c r="G445" s="22" t="s">
        <v>1046</v>
      </c>
      <c r="H445" s="19" t="s">
        <v>1363</v>
      </c>
      <c r="I445" s="19" t="s">
        <v>1401</v>
      </c>
      <c r="J445" s="22">
        <v>2.6</v>
      </c>
      <c r="K445" s="22">
        <v>0.89</v>
      </c>
      <c r="L445" s="22">
        <v>94.9</v>
      </c>
      <c r="M445" s="22" t="s">
        <v>1884</v>
      </c>
      <c r="N445" s="22">
        <f t="shared" si="40"/>
        <v>2.4674</v>
      </c>
      <c r="O445" s="22" t="s">
        <v>1884</v>
      </c>
      <c r="P445" s="21" t="s">
        <v>1698</v>
      </c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</row>
    <row r="446" spans="1:124" s="26" customFormat="1">
      <c r="A446" s="19"/>
      <c r="B446" s="20"/>
      <c r="C446" s="20"/>
      <c r="D446" s="21"/>
      <c r="E446" s="22"/>
      <c r="F446" s="22"/>
      <c r="G446" s="22"/>
      <c r="H446" s="19"/>
      <c r="I446" s="19" t="s">
        <v>1883</v>
      </c>
      <c r="J446" s="22">
        <v>1.4</v>
      </c>
      <c r="K446" s="22">
        <v>0.19</v>
      </c>
      <c r="L446" s="22">
        <v>1.7</v>
      </c>
      <c r="M446" s="22" t="s">
        <v>1884</v>
      </c>
      <c r="N446" s="22">
        <f t="shared" si="40"/>
        <v>2.3800000000000002E-2</v>
      </c>
      <c r="O446" s="22" t="s">
        <v>1884</v>
      </c>
      <c r="P446" s="21" t="s">
        <v>1698</v>
      </c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</row>
    <row r="447" spans="1:124" s="26" customFormat="1">
      <c r="A447" s="19"/>
      <c r="B447" s="20"/>
      <c r="C447" s="20"/>
      <c r="D447" s="21"/>
      <c r="E447" s="22"/>
      <c r="F447" s="22"/>
      <c r="G447" s="22"/>
      <c r="H447" s="19"/>
      <c r="I447" s="19" t="s">
        <v>485</v>
      </c>
      <c r="J447" s="22">
        <v>4.0999999999999996</v>
      </c>
      <c r="K447" s="22">
        <v>0.6</v>
      </c>
      <c r="L447" s="22">
        <v>62</v>
      </c>
      <c r="M447" s="22" t="s">
        <v>1884</v>
      </c>
      <c r="N447" s="22">
        <f t="shared" si="40"/>
        <v>2.5419999999999998</v>
      </c>
      <c r="O447" s="22" t="s">
        <v>1884</v>
      </c>
      <c r="P447" s="21" t="s">
        <v>1698</v>
      </c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</row>
    <row r="448" spans="1:124" s="26" customFormat="1">
      <c r="A448" s="19" t="s">
        <v>1758</v>
      </c>
      <c r="B448" s="20" t="s">
        <v>1759</v>
      </c>
      <c r="C448" s="20" t="s">
        <v>1867</v>
      </c>
      <c r="D448" s="21" t="s">
        <v>1868</v>
      </c>
      <c r="E448" s="22" t="s">
        <v>1869</v>
      </c>
      <c r="F448" s="22">
        <v>1</v>
      </c>
      <c r="G448" s="22" t="s">
        <v>1046</v>
      </c>
      <c r="H448" s="19" t="s">
        <v>1363</v>
      </c>
      <c r="I448" s="19" t="s">
        <v>1401</v>
      </c>
      <c r="J448" s="22">
        <v>3.7</v>
      </c>
      <c r="K448" s="22">
        <v>1.3</v>
      </c>
      <c r="L448" s="22">
        <v>95.9</v>
      </c>
      <c r="M448" s="22" t="s">
        <v>1884</v>
      </c>
      <c r="N448" s="22">
        <f t="shared" si="40"/>
        <v>3.5483000000000002</v>
      </c>
      <c r="O448" s="22" t="s">
        <v>1884</v>
      </c>
      <c r="P448" s="21" t="s">
        <v>1807</v>
      </c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</row>
    <row r="449" spans="1:124" s="26" customFormat="1">
      <c r="A449" s="19"/>
      <c r="B449" s="20"/>
      <c r="C449" s="20"/>
      <c r="D449" s="21"/>
      <c r="E449" s="22"/>
      <c r="F449" s="22"/>
      <c r="G449" s="22"/>
      <c r="H449" s="19"/>
      <c r="I449" s="19" t="s">
        <v>1883</v>
      </c>
      <c r="J449" s="22">
        <v>2.4</v>
      </c>
      <c r="K449" s="22">
        <v>0.08</v>
      </c>
      <c r="L449" s="22">
        <v>1</v>
      </c>
      <c r="M449" s="22" t="s">
        <v>1884</v>
      </c>
      <c r="N449" s="22">
        <f t="shared" si="40"/>
        <v>2.4E-2</v>
      </c>
      <c r="O449" s="22" t="s">
        <v>1884</v>
      </c>
      <c r="P449" s="21" t="s">
        <v>1807</v>
      </c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</row>
    <row r="450" spans="1:124" s="26" customFormat="1">
      <c r="A450" s="19"/>
      <c r="B450" s="20"/>
      <c r="C450" s="20"/>
      <c r="D450" s="21"/>
      <c r="E450" s="22"/>
      <c r="F450" s="22"/>
      <c r="G450" s="22"/>
      <c r="H450" s="19"/>
      <c r="I450" s="19" t="s">
        <v>485</v>
      </c>
      <c r="J450" s="22">
        <v>6.1</v>
      </c>
      <c r="K450" s="22">
        <v>0.8</v>
      </c>
      <c r="L450" s="22">
        <v>59</v>
      </c>
      <c r="M450" s="22" t="s">
        <v>1884</v>
      </c>
      <c r="N450" s="22">
        <f t="shared" si="40"/>
        <v>3.5989999999999998</v>
      </c>
      <c r="O450" s="22" t="s">
        <v>1884</v>
      </c>
      <c r="P450" s="21" t="s">
        <v>1807</v>
      </c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</row>
    <row r="451" spans="1:124" s="152" customFormat="1">
      <c r="A451" s="19" t="s">
        <v>1758</v>
      </c>
      <c r="B451" s="20" t="s">
        <v>1759</v>
      </c>
      <c r="C451" s="20" t="s">
        <v>1867</v>
      </c>
      <c r="D451" s="21" t="s">
        <v>1868</v>
      </c>
      <c r="E451" s="22" t="s">
        <v>1869</v>
      </c>
      <c r="F451" s="22">
        <v>1</v>
      </c>
      <c r="G451" s="22" t="s">
        <v>1046</v>
      </c>
      <c r="H451" s="19" t="s">
        <v>1363</v>
      </c>
      <c r="I451" s="19" t="s">
        <v>1401</v>
      </c>
      <c r="J451" s="22">
        <v>2.1</v>
      </c>
      <c r="K451" s="22">
        <v>0.33600000000000002</v>
      </c>
      <c r="L451" s="22">
        <v>87.6</v>
      </c>
      <c r="M451" s="22" t="s">
        <v>1884</v>
      </c>
      <c r="N451" s="22">
        <f t="shared" si="40"/>
        <v>1.8395999999999999</v>
      </c>
      <c r="O451" s="22" t="s">
        <v>1884</v>
      </c>
      <c r="P451" s="21" t="s">
        <v>1683</v>
      </c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</row>
    <row r="452" spans="1:124" s="152" customFormat="1">
      <c r="A452" s="19"/>
      <c r="B452" s="20"/>
      <c r="C452" s="20"/>
      <c r="D452" s="21"/>
      <c r="E452" s="22"/>
      <c r="F452" s="22"/>
      <c r="G452" s="22"/>
      <c r="H452" s="19"/>
      <c r="I452" s="19" t="s">
        <v>1883</v>
      </c>
      <c r="J452" s="22">
        <v>8.1</v>
      </c>
      <c r="K452" s="22">
        <v>0.24</v>
      </c>
      <c r="L452" s="22">
        <v>0.6</v>
      </c>
      <c r="M452" s="22" t="s">
        <v>1884</v>
      </c>
      <c r="N452" s="22">
        <f t="shared" si="40"/>
        <v>4.8599999999999997E-2</v>
      </c>
      <c r="O452" s="22" t="s">
        <v>1884</v>
      </c>
      <c r="P452" s="21" t="s">
        <v>1683</v>
      </c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</row>
    <row r="453" spans="1:124" s="152" customFormat="1" ht="14" thickBot="1">
      <c r="A453" s="19"/>
      <c r="B453" s="20"/>
      <c r="C453" s="20"/>
      <c r="D453" s="21"/>
      <c r="E453" s="22"/>
      <c r="F453" s="22"/>
      <c r="G453" s="22"/>
      <c r="H453" s="19"/>
      <c r="I453" s="38" t="s">
        <v>485</v>
      </c>
      <c r="J453" s="45">
        <v>10.3</v>
      </c>
      <c r="K453" s="45">
        <v>0.3</v>
      </c>
      <c r="L453" s="45">
        <v>19</v>
      </c>
      <c r="M453" s="45" t="s">
        <v>1884</v>
      </c>
      <c r="N453" s="45">
        <f t="shared" si="40"/>
        <v>1.9570000000000001</v>
      </c>
      <c r="O453" s="45" t="s">
        <v>1884</v>
      </c>
      <c r="P453" s="21" t="s">
        <v>1683</v>
      </c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</row>
    <row r="454" spans="1:124" s="152" customFormat="1" ht="15">
      <c r="A454" s="3"/>
      <c r="B454" s="147"/>
      <c r="C454" s="147"/>
      <c r="D454" s="1"/>
      <c r="E454" s="74"/>
      <c r="F454" s="74"/>
      <c r="G454" s="74"/>
      <c r="H454" s="3"/>
      <c r="I454" s="47" t="s">
        <v>1401</v>
      </c>
      <c r="J454" s="51">
        <f>ROUND(AVERAGE(J430,J433,J436,J439,J442,J445,J448,J451),1)</f>
        <v>2.8</v>
      </c>
      <c r="K454" s="51">
        <f>ROUND(STDEV(J430,J433,J436,J439,J442,J445,J448,J451),1)</f>
        <v>0.9</v>
      </c>
      <c r="L454" s="51">
        <f>ROUND(AVERAGE(L430,L433,L436,L439,L442,L445,L448,L451),1)</f>
        <v>91.5</v>
      </c>
      <c r="M454" s="51" t="s">
        <v>986</v>
      </c>
      <c r="N454" s="51">
        <f>ROUND(AVERAGE(N430,N433,N436,N439,N442,N445,N448,N451),1)</f>
        <v>2.5</v>
      </c>
      <c r="O454" s="52" t="s">
        <v>986</v>
      </c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</row>
    <row r="455" spans="1:124" s="152" customFormat="1" ht="15">
      <c r="A455" s="3"/>
      <c r="B455" s="147"/>
      <c r="C455" s="147"/>
      <c r="D455" s="1"/>
      <c r="E455" s="74"/>
      <c r="F455" s="74"/>
      <c r="G455" s="74"/>
      <c r="H455" s="3"/>
      <c r="I455" s="48" t="s">
        <v>1883</v>
      </c>
      <c r="J455" s="53">
        <f>ROUND(AVERAGE(J431,J434,J437,J440,J443,J446,J449,J452),1)</f>
        <v>3.3</v>
      </c>
      <c r="K455" s="53">
        <f>ROUND(STDEV(J431,J434,J437,J440,J443,J446,J449,J452),1)</f>
        <v>3.7</v>
      </c>
      <c r="L455" s="53">
        <f>ROUND(AVERAGE(L431,L434,L437,L440,L443,L446,L449,L452),1)</f>
        <v>1.6</v>
      </c>
      <c r="M455" s="53" t="s">
        <v>986</v>
      </c>
      <c r="N455" s="53">
        <f>ROUND(AVERAGE(N431,N434,N437,N440,N443,N446,N449,N452),1)</f>
        <v>0</v>
      </c>
      <c r="O455" s="54" t="s">
        <v>986</v>
      </c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</row>
    <row r="456" spans="1:124" s="1" customFormat="1" ht="15">
      <c r="A456" s="3"/>
      <c r="B456" s="147"/>
      <c r="C456" s="147"/>
      <c r="E456" s="74"/>
      <c r="F456" s="74"/>
      <c r="G456" s="74"/>
      <c r="H456" s="3"/>
      <c r="I456" s="48" t="s">
        <v>485</v>
      </c>
      <c r="J456" s="53">
        <f>ROUND(AVERAGE(J432,J435,J438,J441,J444,J447,J450,J453),1)</f>
        <v>6.1</v>
      </c>
      <c r="K456" s="53">
        <f>ROUND(STDEV(J432,J435,J438,J441,J444,J447,J450,J453),1)</f>
        <v>3.6</v>
      </c>
      <c r="L456" s="53">
        <f>ROUND(AVERAGE(L432,L435,L438,L441,L444,L447,L450,L453),1)</f>
        <v>56.4</v>
      </c>
      <c r="M456" s="53">
        <f>ROUND(STDEV(L432,L435,L438,L441,L444,L447,L450,L453),1)</f>
        <v>27.1</v>
      </c>
      <c r="N456" s="53">
        <f>ROUND(AVERAGE(N432,N435,N438,N441,N444,N447,N450,N453),1)</f>
        <v>2.6</v>
      </c>
      <c r="O456" s="54">
        <f>ROUND(STDEV(N432,N435,N438,N441,N444,N447,N450,N453),1)</f>
        <v>0.9</v>
      </c>
    </row>
    <row r="457" spans="1:124" s="1" customFormat="1" ht="15">
      <c r="A457" s="3"/>
      <c r="B457" s="147"/>
      <c r="C457" s="147"/>
      <c r="E457" s="74"/>
      <c r="F457" s="74"/>
      <c r="G457" s="74"/>
      <c r="H457" s="3"/>
      <c r="I457" s="48" t="s">
        <v>1979</v>
      </c>
      <c r="J457" s="53">
        <f>ROUND(AVERAGE(J432,J435,J438,J441,J444,J447,J450),1)</f>
        <v>5.4</v>
      </c>
      <c r="K457" s="53">
        <f>ROUND(STDEV(J432,J435,J438,J441,J444,J447,J450),1)</f>
        <v>3.5</v>
      </c>
      <c r="L457" s="53">
        <f>ROUND(AVERAGE(L432,L435,L438,L441,L444,L447,L450),1)</f>
        <v>61.7</v>
      </c>
      <c r="M457" s="53">
        <f>ROUND(STDEV(L432,L435,L438,L441,L444,L447,L450),1)</f>
        <v>24.4</v>
      </c>
      <c r="N457" s="53">
        <f>ROUND(AVERAGE(N432,N435,N438,N441,N444,N447,N450),1)</f>
        <v>2.7</v>
      </c>
      <c r="O457" s="54">
        <f>ROUND(STDEV(N432,N435,N438,N441,N444,N447,N450),1)</f>
        <v>0.9</v>
      </c>
    </row>
    <row r="458" spans="1:124" s="1" customFormat="1" ht="16" thickBot="1">
      <c r="A458" s="3"/>
      <c r="B458" s="147"/>
      <c r="C458" s="147"/>
      <c r="E458" s="74"/>
      <c r="F458" s="74"/>
      <c r="G458" s="74"/>
      <c r="H458" s="3"/>
      <c r="I458" s="49" t="s">
        <v>1980</v>
      </c>
      <c r="J458" s="55">
        <f t="shared" ref="J458:O458" si="41">J453</f>
        <v>10.3</v>
      </c>
      <c r="K458" s="55">
        <f t="shared" si="41"/>
        <v>0.3</v>
      </c>
      <c r="L458" s="55">
        <f t="shared" si="41"/>
        <v>19</v>
      </c>
      <c r="M458" s="55" t="str">
        <f t="shared" si="41"/>
        <v>-</v>
      </c>
      <c r="N458" s="55">
        <f t="shared" si="41"/>
        <v>1.9570000000000001</v>
      </c>
      <c r="O458" s="56" t="str">
        <f t="shared" si="41"/>
        <v>-</v>
      </c>
    </row>
    <row r="459" spans="1:124" s="58" customFormat="1">
      <c r="A459" s="35"/>
      <c r="B459" s="147"/>
      <c r="C459" s="147"/>
      <c r="D459" s="1"/>
      <c r="E459" s="74"/>
      <c r="F459" s="74"/>
      <c r="G459" s="74"/>
      <c r="H459" s="74"/>
      <c r="I459" s="3"/>
      <c r="J459" s="74"/>
      <c r="K459" s="74"/>
      <c r="L459" s="74"/>
      <c r="M459" s="74"/>
      <c r="N459" s="74"/>
      <c r="O459" s="74"/>
      <c r="P459" s="1"/>
    </row>
    <row r="460" spans="1:124">
      <c r="A460" s="296"/>
      <c r="B460" s="296"/>
      <c r="C460" s="296"/>
      <c r="D460" s="296"/>
      <c r="E460" s="301"/>
      <c r="F460" s="296"/>
      <c r="G460" s="296"/>
      <c r="H460" s="296"/>
      <c r="I460" s="296"/>
      <c r="J460" s="301"/>
      <c r="K460" s="301"/>
      <c r="L460" s="301"/>
      <c r="M460" s="301"/>
      <c r="N460" s="301"/>
      <c r="O460" s="301"/>
      <c r="P460" s="296"/>
    </row>
    <row r="461" spans="1:124">
      <c r="I461" s="50"/>
    </row>
    <row r="462" spans="1:124" s="58" customFormat="1" ht="15">
      <c r="A462" s="131" t="s">
        <v>1684</v>
      </c>
      <c r="B462" s="129" t="s">
        <v>1685</v>
      </c>
      <c r="C462" s="129" t="s">
        <v>1686</v>
      </c>
      <c r="D462" s="131" t="s">
        <v>1803</v>
      </c>
      <c r="E462" s="129">
        <v>1991</v>
      </c>
      <c r="F462" s="129">
        <v>6</v>
      </c>
      <c r="G462" s="129" t="s">
        <v>253</v>
      </c>
      <c r="H462" s="131" t="s">
        <v>997</v>
      </c>
      <c r="I462" s="131" t="s">
        <v>1398</v>
      </c>
      <c r="J462" s="129">
        <v>6.3</v>
      </c>
      <c r="K462" s="129" t="s">
        <v>253</v>
      </c>
      <c r="L462" s="156">
        <f>(630-38)/630*100</f>
        <v>93.968253968253961</v>
      </c>
      <c r="M462" s="129" t="s">
        <v>986</v>
      </c>
      <c r="N462" s="129">
        <v>5.9</v>
      </c>
      <c r="O462" s="129" t="s">
        <v>986</v>
      </c>
      <c r="P462" s="128" t="s">
        <v>1817</v>
      </c>
    </row>
    <row r="463" spans="1:124" s="58" customFormat="1" ht="15">
      <c r="A463" s="131" t="s">
        <v>1684</v>
      </c>
      <c r="B463" s="129" t="s">
        <v>1685</v>
      </c>
      <c r="C463" s="129" t="s">
        <v>1686</v>
      </c>
      <c r="D463" s="131" t="s">
        <v>1803</v>
      </c>
      <c r="E463" s="129">
        <v>1991</v>
      </c>
      <c r="F463" s="129">
        <v>6</v>
      </c>
      <c r="G463" s="129" t="s">
        <v>986</v>
      </c>
      <c r="H463" s="131" t="s">
        <v>997</v>
      </c>
      <c r="I463" s="131" t="s">
        <v>1398</v>
      </c>
      <c r="J463" s="129">
        <v>4.2</v>
      </c>
      <c r="K463" s="129" t="s">
        <v>986</v>
      </c>
      <c r="L463" s="156">
        <f>(415-30)/415*100</f>
        <v>92.771084337349393</v>
      </c>
      <c r="M463" s="129" t="s">
        <v>986</v>
      </c>
      <c r="N463" s="129">
        <v>3.9</v>
      </c>
      <c r="O463" s="129" t="s">
        <v>986</v>
      </c>
      <c r="P463" s="128" t="s">
        <v>1818</v>
      </c>
    </row>
    <row r="464" spans="1:124" s="58" customFormat="1" ht="16" thickBot="1">
      <c r="A464" s="131" t="s">
        <v>1684</v>
      </c>
      <c r="B464" s="129" t="s">
        <v>1685</v>
      </c>
      <c r="C464" s="129" t="s">
        <v>1686</v>
      </c>
      <c r="D464" s="131" t="s">
        <v>1441</v>
      </c>
      <c r="E464" s="129">
        <v>1991</v>
      </c>
      <c r="F464" s="129">
        <v>6</v>
      </c>
      <c r="G464" s="129" t="s">
        <v>986</v>
      </c>
      <c r="H464" s="131" t="s">
        <v>997</v>
      </c>
      <c r="I464" s="161" t="s">
        <v>1398</v>
      </c>
      <c r="J464" s="136">
        <v>3.8</v>
      </c>
      <c r="K464" s="136" t="s">
        <v>986</v>
      </c>
      <c r="L464" s="282">
        <f>(380-24)/380*100</f>
        <v>93.684210526315795</v>
      </c>
      <c r="M464" s="136" t="s">
        <v>986</v>
      </c>
      <c r="N464" s="136">
        <v>3.6</v>
      </c>
      <c r="O464" s="136" t="s">
        <v>986</v>
      </c>
      <c r="P464" s="128" t="s">
        <v>1544</v>
      </c>
    </row>
    <row r="465" spans="1:16" s="58" customFormat="1" ht="16" thickBot="1">
      <c r="A465" s="107"/>
      <c r="B465" s="104"/>
      <c r="C465" s="104"/>
      <c r="D465" s="107"/>
      <c r="E465" s="104"/>
      <c r="F465" s="104"/>
      <c r="G465" s="104"/>
      <c r="H465" s="107"/>
      <c r="I465" s="163" t="s">
        <v>1417</v>
      </c>
      <c r="J465" s="135">
        <f>ROUND(AVERAGE(J462:J464),1)</f>
        <v>4.8</v>
      </c>
      <c r="K465" s="135">
        <f>ROUND(STDEV(J462:J464),1)</f>
        <v>1.3</v>
      </c>
      <c r="L465" s="283">
        <f>ROUND(AVERAGE(L462:L464),1)</f>
        <v>93.5</v>
      </c>
      <c r="M465" s="135">
        <f>ROUND(STDEV(L462:L464),1)</f>
        <v>0.6</v>
      </c>
      <c r="N465" s="135">
        <f>ROUND(AVERAGE(N462:N464),1)</f>
        <v>4.5</v>
      </c>
      <c r="O465" s="284">
        <f>ROUND(STDEV(N462:N464),1)</f>
        <v>1.3</v>
      </c>
      <c r="P465" s="103"/>
    </row>
    <row r="466" spans="1:16" s="58" customFormat="1" ht="15">
      <c r="A466" s="107"/>
      <c r="B466" s="104"/>
      <c r="C466" s="104"/>
      <c r="D466" s="107"/>
      <c r="E466" s="104"/>
      <c r="F466" s="104"/>
      <c r="G466" s="104"/>
      <c r="H466" s="107"/>
      <c r="I466" s="107"/>
      <c r="J466" s="104"/>
      <c r="K466" s="104"/>
      <c r="L466" s="154"/>
      <c r="M466" s="104"/>
      <c r="N466" s="104"/>
      <c r="O466" s="104"/>
      <c r="P466" s="103"/>
    </row>
    <row r="467" spans="1:16" s="58" customFormat="1" ht="15">
      <c r="A467" s="309"/>
      <c r="B467" s="308"/>
      <c r="C467" s="308"/>
      <c r="D467" s="309"/>
      <c r="E467" s="308"/>
      <c r="F467" s="308"/>
      <c r="G467" s="308"/>
      <c r="H467" s="309"/>
      <c r="I467" s="309"/>
      <c r="J467" s="308"/>
      <c r="K467" s="308"/>
      <c r="L467" s="310"/>
      <c r="M467" s="308"/>
      <c r="N467" s="308"/>
      <c r="O467" s="308"/>
      <c r="P467" s="307"/>
    </row>
    <row r="468" spans="1:16" s="58" customFormat="1" ht="16" thickBot="1">
      <c r="A468" s="107"/>
      <c r="B468" s="104"/>
      <c r="C468" s="104"/>
      <c r="D468" s="107"/>
      <c r="E468" s="104"/>
      <c r="F468" s="104"/>
      <c r="G468" s="104"/>
      <c r="H468" s="107"/>
      <c r="I468" s="107"/>
      <c r="J468" s="104"/>
      <c r="K468" s="104"/>
      <c r="L468" s="154"/>
      <c r="M468" s="104"/>
      <c r="N468" s="104"/>
      <c r="O468" s="104"/>
      <c r="P468" s="103"/>
    </row>
    <row r="469" spans="1:16" s="26" customFormat="1" ht="16" thickBot="1">
      <c r="A469" s="128" t="s">
        <v>1720</v>
      </c>
      <c r="B469" s="155" t="s">
        <v>1721</v>
      </c>
      <c r="C469" s="155" t="s">
        <v>1722</v>
      </c>
      <c r="D469" s="131" t="s">
        <v>1830</v>
      </c>
      <c r="E469" s="20">
        <v>1991</v>
      </c>
      <c r="F469" s="20">
        <v>9</v>
      </c>
      <c r="G469" s="20" t="s">
        <v>986</v>
      </c>
      <c r="H469" s="27" t="s">
        <v>1831</v>
      </c>
      <c r="I469" s="90" t="s">
        <v>1098</v>
      </c>
      <c r="J469" s="67">
        <v>5.6</v>
      </c>
      <c r="K469" s="67">
        <v>0.9</v>
      </c>
      <c r="L469" s="67">
        <v>91</v>
      </c>
      <c r="M469" s="67" t="s">
        <v>253</v>
      </c>
      <c r="N469" s="67">
        <v>5.12</v>
      </c>
      <c r="O469" s="68" t="s">
        <v>253</v>
      </c>
      <c r="P469" s="157"/>
    </row>
    <row r="470" spans="1:16" s="58" customFormat="1" ht="15">
      <c r="A470" s="150"/>
      <c r="B470" s="151"/>
      <c r="C470" s="151"/>
      <c r="D470" s="107"/>
      <c r="E470" s="147"/>
      <c r="F470" s="147"/>
      <c r="G470" s="147"/>
      <c r="H470" s="3"/>
      <c r="I470" s="3"/>
      <c r="J470" s="74"/>
      <c r="K470" s="74"/>
      <c r="L470" s="74"/>
      <c r="M470" s="74"/>
      <c r="N470" s="74"/>
      <c r="O470" s="74"/>
      <c r="P470" s="1"/>
    </row>
    <row r="471" spans="1:16" s="58" customFormat="1" ht="15">
      <c r="A471" s="305"/>
      <c r="B471" s="306"/>
      <c r="C471" s="306"/>
      <c r="D471" s="309"/>
      <c r="E471" s="290"/>
      <c r="F471" s="290"/>
      <c r="G471" s="290"/>
      <c r="H471" s="293"/>
      <c r="I471" s="293"/>
      <c r="J471" s="292"/>
      <c r="K471" s="292"/>
      <c r="L471" s="292"/>
      <c r="M471" s="292"/>
      <c r="N471" s="292"/>
      <c r="O471" s="292"/>
      <c r="P471" s="291"/>
    </row>
    <row r="472" spans="1:16" s="58" customFormat="1" ht="15">
      <c r="A472" s="150"/>
      <c r="B472" s="151"/>
      <c r="C472" s="151"/>
      <c r="D472" s="107"/>
      <c r="E472" s="147"/>
      <c r="F472" s="147"/>
      <c r="G472" s="147"/>
      <c r="H472" s="3"/>
      <c r="I472" s="3"/>
      <c r="J472" s="74"/>
      <c r="K472" s="74"/>
      <c r="L472" s="74"/>
      <c r="M472" s="74"/>
      <c r="N472" s="74"/>
      <c r="O472" s="74"/>
      <c r="P472" s="1"/>
    </row>
    <row r="473" spans="1:16" s="26" customFormat="1">
      <c r="A473" s="19" t="s">
        <v>39</v>
      </c>
      <c r="B473" s="20" t="s">
        <v>1932</v>
      </c>
      <c r="C473" s="20" t="s">
        <v>1933</v>
      </c>
      <c r="D473" s="19" t="s">
        <v>1934</v>
      </c>
      <c r="E473" s="22">
        <v>2005</v>
      </c>
      <c r="F473" s="22">
        <v>6</v>
      </c>
      <c r="G473" s="22" t="s">
        <v>1046</v>
      </c>
      <c r="H473" s="19" t="s">
        <v>997</v>
      </c>
      <c r="I473" s="19" t="s">
        <v>1093</v>
      </c>
      <c r="J473" s="22">
        <v>1.3</v>
      </c>
      <c r="K473" s="22">
        <v>0.1</v>
      </c>
      <c r="L473" s="22">
        <v>99</v>
      </c>
      <c r="M473" s="22" t="s">
        <v>1046</v>
      </c>
      <c r="N473" s="22">
        <v>1.2</v>
      </c>
      <c r="O473" s="22">
        <v>0.1</v>
      </c>
      <c r="P473" s="21" t="s">
        <v>1935</v>
      </c>
    </row>
    <row r="474" spans="1:16" s="26" customFormat="1">
      <c r="A474" s="19" t="s">
        <v>39</v>
      </c>
      <c r="B474" s="20" t="s">
        <v>1932</v>
      </c>
      <c r="C474" s="20" t="s">
        <v>1933</v>
      </c>
      <c r="D474" s="19" t="s">
        <v>1934</v>
      </c>
      <c r="E474" s="22">
        <v>2005</v>
      </c>
      <c r="F474" s="22">
        <v>6</v>
      </c>
      <c r="G474" s="22" t="s">
        <v>1046</v>
      </c>
      <c r="H474" s="19" t="s">
        <v>997</v>
      </c>
      <c r="I474" s="19" t="s">
        <v>1093</v>
      </c>
      <c r="J474" s="22">
        <v>5.5</v>
      </c>
      <c r="K474" s="22">
        <v>0.3</v>
      </c>
      <c r="L474" s="22">
        <v>69</v>
      </c>
      <c r="M474" s="22" t="s">
        <v>1046</v>
      </c>
      <c r="N474" s="22">
        <v>3.8</v>
      </c>
      <c r="O474" s="22">
        <v>0.2</v>
      </c>
      <c r="P474" s="21" t="s">
        <v>1936</v>
      </c>
    </row>
    <row r="475" spans="1:16" s="26" customFormat="1">
      <c r="A475" s="19" t="s">
        <v>39</v>
      </c>
      <c r="B475" s="20" t="s">
        <v>1932</v>
      </c>
      <c r="C475" s="20" t="s">
        <v>1933</v>
      </c>
      <c r="D475" s="19" t="s">
        <v>1934</v>
      </c>
      <c r="E475" s="22">
        <v>2005</v>
      </c>
      <c r="F475" s="22">
        <v>6</v>
      </c>
      <c r="G475" s="22" t="s">
        <v>1046</v>
      </c>
      <c r="H475" s="19" t="s">
        <v>997</v>
      </c>
      <c r="I475" s="19" t="s">
        <v>1937</v>
      </c>
      <c r="J475" s="22">
        <v>2.2000000000000002</v>
      </c>
      <c r="K475" s="22">
        <v>0.4</v>
      </c>
      <c r="L475" s="22">
        <v>98</v>
      </c>
      <c r="M475" s="22" t="s">
        <v>1046</v>
      </c>
      <c r="N475" s="22">
        <v>2.2000000000000002</v>
      </c>
      <c r="O475" s="22">
        <v>0.4</v>
      </c>
      <c r="P475" s="21" t="s">
        <v>1938</v>
      </c>
    </row>
    <row r="476" spans="1:16" s="26" customFormat="1" ht="14" thickBot="1">
      <c r="A476" s="19" t="s">
        <v>39</v>
      </c>
      <c r="B476" s="20" t="s">
        <v>1932</v>
      </c>
      <c r="C476" s="20" t="s">
        <v>1933</v>
      </c>
      <c r="D476" s="19" t="s">
        <v>1934</v>
      </c>
      <c r="E476" s="22">
        <v>2005</v>
      </c>
      <c r="F476" s="22">
        <v>6</v>
      </c>
      <c r="G476" s="22" t="s">
        <v>1046</v>
      </c>
      <c r="H476" s="19" t="s">
        <v>997</v>
      </c>
      <c r="I476" s="38" t="s">
        <v>1937</v>
      </c>
      <c r="J476" s="45">
        <v>2.4</v>
      </c>
      <c r="K476" s="45">
        <v>0.4</v>
      </c>
      <c r="L476" s="45">
        <v>96</v>
      </c>
      <c r="M476" s="45" t="s">
        <v>1046</v>
      </c>
      <c r="N476" s="45">
        <v>2.2999999999999998</v>
      </c>
      <c r="O476" s="45">
        <v>0.4</v>
      </c>
      <c r="P476" s="21" t="s">
        <v>1819</v>
      </c>
    </row>
    <row r="477" spans="1:16" s="26" customFormat="1" ht="15">
      <c r="A477" s="3"/>
      <c r="B477" s="147"/>
      <c r="C477" s="147"/>
      <c r="D477" s="74"/>
      <c r="E477" s="74"/>
      <c r="F477" s="74"/>
      <c r="G477" s="74"/>
      <c r="H477" s="3"/>
      <c r="I477" s="47" t="s">
        <v>1093</v>
      </c>
      <c r="J477" s="51">
        <f>AVERAGE(J473:J474)</f>
        <v>3.4</v>
      </c>
      <c r="K477" s="51" t="s">
        <v>986</v>
      </c>
      <c r="L477" s="51">
        <f>AVERAGE(L473:L474)</f>
        <v>84</v>
      </c>
      <c r="M477" s="51" t="s">
        <v>1812</v>
      </c>
      <c r="N477" s="51">
        <f>AVERAGE(N473:N474)</f>
        <v>2.5</v>
      </c>
      <c r="O477" s="52">
        <f>AVERAGE(O473:O474)</f>
        <v>0.15000000000000002</v>
      </c>
      <c r="P477" s="1"/>
    </row>
    <row r="478" spans="1:16" s="1" customFormat="1" ht="15">
      <c r="A478" s="3"/>
      <c r="B478" s="147"/>
      <c r="C478" s="147"/>
      <c r="D478" s="74"/>
      <c r="E478" s="74"/>
      <c r="F478" s="74"/>
      <c r="G478" s="74"/>
      <c r="H478" s="3"/>
      <c r="I478" s="48" t="s">
        <v>1937</v>
      </c>
      <c r="J478" s="53">
        <f>AVERAGE(J475:J476)</f>
        <v>2.2999999999999998</v>
      </c>
      <c r="K478" s="53" t="s">
        <v>986</v>
      </c>
      <c r="L478" s="53">
        <f>AVERAGE(L475:L476)</f>
        <v>97</v>
      </c>
      <c r="M478" s="53" t="s">
        <v>986</v>
      </c>
      <c r="N478" s="53">
        <f>AVERAGE(N475:N476)</f>
        <v>2.25</v>
      </c>
      <c r="O478" s="54" t="s">
        <v>986</v>
      </c>
    </row>
    <row r="479" spans="1:16" s="1" customFormat="1" ht="16" thickBot="1">
      <c r="A479" s="3"/>
      <c r="B479" s="147"/>
      <c r="C479" s="147"/>
      <c r="D479" s="74"/>
      <c r="E479" s="74"/>
      <c r="F479" s="74"/>
      <c r="G479" s="74"/>
      <c r="H479" s="3"/>
      <c r="I479" s="49" t="s">
        <v>1203</v>
      </c>
      <c r="J479" s="55">
        <f>ROUND(AVERAGE(J473:J476),1)</f>
        <v>2.9</v>
      </c>
      <c r="K479" s="55">
        <f>ROUND(STDEV(J473:J476),1)</f>
        <v>1.8</v>
      </c>
      <c r="L479" s="55">
        <f>ROUND(AVERAGE(L473:L476),1)</f>
        <v>90.5</v>
      </c>
      <c r="M479" s="55">
        <f>ROUND(STDEV(L473:L476),1)</f>
        <v>14.4</v>
      </c>
      <c r="N479" s="55">
        <f>ROUND(AVERAGE(N473:N476),1)</f>
        <v>2.4</v>
      </c>
      <c r="O479" s="56">
        <f>ROUND(STDEV(N473:N476),1)</f>
        <v>1.1000000000000001</v>
      </c>
    </row>
    <row r="480" spans="1:16" s="58" customFormat="1">
      <c r="A480" s="35"/>
      <c r="B480" s="147"/>
      <c r="C480" s="147"/>
      <c r="D480" s="74"/>
      <c r="E480" s="74"/>
      <c r="F480" s="74"/>
      <c r="G480" s="74"/>
      <c r="H480" s="3"/>
      <c r="I480" s="3"/>
      <c r="J480" s="74"/>
      <c r="K480" s="74"/>
      <c r="L480" s="74"/>
      <c r="M480" s="74"/>
      <c r="N480" s="74"/>
      <c r="O480" s="74"/>
      <c r="P480" s="1"/>
    </row>
    <row r="481" spans="1:16" s="58" customFormat="1">
      <c r="A481" s="289"/>
      <c r="B481" s="290"/>
      <c r="C481" s="290"/>
      <c r="D481" s="292"/>
      <c r="E481" s="292"/>
      <c r="F481" s="292"/>
      <c r="G481" s="292"/>
      <c r="H481" s="293"/>
      <c r="I481" s="293"/>
      <c r="J481" s="292"/>
      <c r="K481" s="292"/>
      <c r="L481" s="292"/>
      <c r="M481" s="292"/>
      <c r="N481" s="292"/>
      <c r="O481" s="292"/>
      <c r="P481" s="291"/>
    </row>
    <row r="482" spans="1:16" s="58" customFormat="1">
      <c r="A482" s="35"/>
      <c r="B482" s="147"/>
      <c r="C482" s="147"/>
      <c r="D482" s="74"/>
      <c r="E482" s="74"/>
      <c r="F482" s="74"/>
      <c r="G482" s="74"/>
      <c r="H482" s="3"/>
      <c r="I482" s="3"/>
      <c r="J482" s="74"/>
      <c r="K482" s="74"/>
      <c r="L482" s="74"/>
      <c r="M482" s="74"/>
      <c r="N482" s="74"/>
      <c r="O482" s="74"/>
      <c r="P482" s="1"/>
    </row>
    <row r="483" spans="1:16" s="26" customFormat="1" ht="15">
      <c r="A483" s="131" t="s">
        <v>1820</v>
      </c>
      <c r="B483" s="129" t="s">
        <v>1394</v>
      </c>
      <c r="C483" s="129" t="s">
        <v>1395</v>
      </c>
      <c r="D483" s="131" t="s">
        <v>1710</v>
      </c>
      <c r="E483" s="129">
        <v>2004</v>
      </c>
      <c r="F483" s="129" t="s">
        <v>986</v>
      </c>
      <c r="G483" s="129" t="s">
        <v>986</v>
      </c>
      <c r="H483" s="131" t="s">
        <v>997</v>
      </c>
      <c r="I483" s="131"/>
      <c r="J483" s="129">
        <v>4.5999999999999996</v>
      </c>
      <c r="K483" s="129" t="s">
        <v>986</v>
      </c>
      <c r="L483" s="129">
        <v>70</v>
      </c>
      <c r="M483" s="129" t="s">
        <v>986</v>
      </c>
      <c r="N483" s="129">
        <v>3.22</v>
      </c>
      <c r="O483" s="129" t="s">
        <v>986</v>
      </c>
      <c r="P483" s="128" t="s">
        <v>1711</v>
      </c>
    </row>
    <row r="484" spans="1:16" s="26" customFormat="1" ht="15">
      <c r="A484" s="131" t="s">
        <v>1820</v>
      </c>
      <c r="B484" s="129" t="s">
        <v>1394</v>
      </c>
      <c r="C484" s="129" t="s">
        <v>1395</v>
      </c>
      <c r="D484" s="131" t="s">
        <v>1712</v>
      </c>
      <c r="E484" s="129">
        <v>2004</v>
      </c>
      <c r="F484" s="129" t="s">
        <v>986</v>
      </c>
      <c r="G484" s="129" t="s">
        <v>986</v>
      </c>
      <c r="H484" s="131" t="s">
        <v>997</v>
      </c>
      <c r="I484" s="131"/>
      <c r="J484" s="129">
        <v>1.1200000000000001</v>
      </c>
      <c r="K484" s="129" t="s">
        <v>986</v>
      </c>
      <c r="L484" s="129">
        <v>3</v>
      </c>
      <c r="M484" s="129" t="s">
        <v>986</v>
      </c>
      <c r="N484" s="129">
        <v>0.03</v>
      </c>
      <c r="O484" s="129" t="s">
        <v>986</v>
      </c>
      <c r="P484" s="128" t="s">
        <v>1827</v>
      </c>
    </row>
    <row r="485" spans="1:16" s="26" customFormat="1" ht="15">
      <c r="A485" s="131" t="s">
        <v>1820</v>
      </c>
      <c r="B485" s="129" t="s">
        <v>1394</v>
      </c>
      <c r="C485" s="129" t="s">
        <v>1395</v>
      </c>
      <c r="D485" s="131" t="s">
        <v>1712</v>
      </c>
      <c r="E485" s="129">
        <v>2004</v>
      </c>
      <c r="F485" s="129" t="s">
        <v>986</v>
      </c>
      <c r="G485" s="129" t="s">
        <v>986</v>
      </c>
      <c r="H485" s="131" t="s">
        <v>997</v>
      </c>
      <c r="I485" s="131"/>
      <c r="J485" s="129">
        <v>7.72</v>
      </c>
      <c r="K485" s="129" t="s">
        <v>986</v>
      </c>
      <c r="L485" s="129">
        <v>5</v>
      </c>
      <c r="M485" s="129" t="s">
        <v>986</v>
      </c>
      <c r="N485" s="129">
        <v>0.39</v>
      </c>
      <c r="O485" s="129" t="s">
        <v>986</v>
      </c>
      <c r="P485" s="128" t="s">
        <v>1939</v>
      </c>
    </row>
    <row r="486" spans="1:16" s="26" customFormat="1" ht="15">
      <c r="A486" s="131" t="s">
        <v>1820</v>
      </c>
      <c r="B486" s="129" t="s">
        <v>1394</v>
      </c>
      <c r="C486" s="129" t="s">
        <v>1395</v>
      </c>
      <c r="D486" s="131" t="s">
        <v>1712</v>
      </c>
      <c r="E486" s="129">
        <v>2004</v>
      </c>
      <c r="F486" s="129" t="s">
        <v>986</v>
      </c>
      <c r="G486" s="129" t="s">
        <v>986</v>
      </c>
      <c r="H486" s="131" t="s">
        <v>997</v>
      </c>
      <c r="I486" s="131"/>
      <c r="J486" s="129">
        <v>0.83</v>
      </c>
      <c r="K486" s="129" t="s">
        <v>986</v>
      </c>
      <c r="L486" s="129">
        <v>45</v>
      </c>
      <c r="M486" s="129" t="s">
        <v>986</v>
      </c>
      <c r="N486" s="129">
        <v>0.37</v>
      </c>
      <c r="O486" s="129" t="s">
        <v>986</v>
      </c>
      <c r="P486" s="128" t="s">
        <v>1821</v>
      </c>
    </row>
    <row r="487" spans="1:16" s="26" customFormat="1" ht="15">
      <c r="A487" s="131" t="s">
        <v>1820</v>
      </c>
      <c r="B487" s="129" t="s">
        <v>1394</v>
      </c>
      <c r="C487" s="129" t="s">
        <v>1395</v>
      </c>
      <c r="D487" s="131" t="s">
        <v>1712</v>
      </c>
      <c r="E487" s="129">
        <v>2004</v>
      </c>
      <c r="F487" s="129" t="s">
        <v>986</v>
      </c>
      <c r="G487" s="129" t="s">
        <v>986</v>
      </c>
      <c r="H487" s="131" t="s">
        <v>997</v>
      </c>
      <c r="I487" s="131"/>
      <c r="J487" s="129">
        <v>4.4000000000000004</v>
      </c>
      <c r="K487" s="129" t="s">
        <v>986</v>
      </c>
      <c r="L487" s="129">
        <v>100</v>
      </c>
      <c r="M487" s="129" t="s">
        <v>986</v>
      </c>
      <c r="N487" s="129">
        <v>4.4000000000000004</v>
      </c>
      <c r="O487" s="129" t="s">
        <v>986</v>
      </c>
      <c r="P487" s="128" t="s">
        <v>1822</v>
      </c>
    </row>
    <row r="488" spans="1:16" s="26" customFormat="1" ht="15">
      <c r="A488" s="131" t="s">
        <v>1820</v>
      </c>
      <c r="B488" s="129" t="s">
        <v>1394</v>
      </c>
      <c r="C488" s="129" t="s">
        <v>1395</v>
      </c>
      <c r="D488" s="131" t="s">
        <v>1712</v>
      </c>
      <c r="E488" s="129">
        <v>2004</v>
      </c>
      <c r="F488" s="129" t="s">
        <v>986</v>
      </c>
      <c r="G488" s="129" t="s">
        <v>986</v>
      </c>
      <c r="H488" s="131" t="s">
        <v>997</v>
      </c>
      <c r="I488" s="131"/>
      <c r="J488" s="129">
        <v>0.99</v>
      </c>
      <c r="K488" s="129" t="s">
        <v>986</v>
      </c>
      <c r="L488" s="129">
        <v>25</v>
      </c>
      <c r="M488" s="129" t="s">
        <v>986</v>
      </c>
      <c r="N488" s="129">
        <v>0.25</v>
      </c>
      <c r="O488" s="129" t="s">
        <v>986</v>
      </c>
      <c r="P488" s="128" t="s">
        <v>1823</v>
      </c>
    </row>
    <row r="489" spans="1:16" s="26" customFormat="1" ht="15">
      <c r="A489" s="131" t="s">
        <v>1820</v>
      </c>
      <c r="B489" s="129" t="s">
        <v>1394</v>
      </c>
      <c r="C489" s="129" t="s">
        <v>1395</v>
      </c>
      <c r="D489" s="131" t="s">
        <v>1712</v>
      </c>
      <c r="E489" s="129">
        <v>2004</v>
      </c>
      <c r="F489" s="129" t="s">
        <v>986</v>
      </c>
      <c r="G489" s="129" t="s">
        <v>986</v>
      </c>
      <c r="H489" s="131" t="s">
        <v>997</v>
      </c>
      <c r="I489" s="131"/>
      <c r="J489" s="129">
        <v>8.2899999999999991</v>
      </c>
      <c r="K489" s="129" t="s">
        <v>986</v>
      </c>
      <c r="L489" s="129">
        <v>25</v>
      </c>
      <c r="M489" s="129" t="s">
        <v>986</v>
      </c>
      <c r="N489" s="129">
        <v>2.0699999999999998</v>
      </c>
      <c r="O489" s="129" t="s">
        <v>986</v>
      </c>
      <c r="P489" s="128" t="s">
        <v>1824</v>
      </c>
    </row>
    <row r="490" spans="1:16" s="26" customFormat="1" ht="16" thickBot="1">
      <c r="A490" s="131" t="s">
        <v>1820</v>
      </c>
      <c r="B490" s="129" t="s">
        <v>1394</v>
      </c>
      <c r="C490" s="129" t="s">
        <v>1395</v>
      </c>
      <c r="D490" s="131" t="s">
        <v>1712</v>
      </c>
      <c r="E490" s="129">
        <v>2004</v>
      </c>
      <c r="F490" s="129" t="s">
        <v>986</v>
      </c>
      <c r="G490" s="129" t="s">
        <v>986</v>
      </c>
      <c r="H490" s="131" t="s">
        <v>997</v>
      </c>
      <c r="I490" s="161"/>
      <c r="J490" s="136">
        <v>0.75</v>
      </c>
      <c r="K490" s="136" t="s">
        <v>986</v>
      </c>
      <c r="L490" s="136">
        <v>75</v>
      </c>
      <c r="M490" s="136" t="s">
        <v>986</v>
      </c>
      <c r="N490" s="136">
        <v>0.56000000000000005</v>
      </c>
      <c r="O490" s="136" t="s">
        <v>986</v>
      </c>
      <c r="P490" s="128" t="s">
        <v>1825</v>
      </c>
    </row>
    <row r="491" spans="1:16" s="1" customFormat="1" ht="15">
      <c r="A491" s="74"/>
      <c r="B491" s="104"/>
      <c r="C491" s="104"/>
      <c r="D491" s="104"/>
      <c r="E491" s="104"/>
      <c r="F491" s="104"/>
      <c r="G491" s="104"/>
      <c r="H491" s="107"/>
      <c r="I491" s="164" t="s">
        <v>1879</v>
      </c>
      <c r="J491" s="165">
        <f>AVERAGE(J483,J487)</f>
        <v>4.5</v>
      </c>
      <c r="K491" s="165" t="s">
        <v>253</v>
      </c>
      <c r="L491" s="165">
        <f>AVERAGE(L483,L487)</f>
        <v>85</v>
      </c>
      <c r="M491" s="165" t="s">
        <v>253</v>
      </c>
      <c r="N491" s="165">
        <v>3.8</v>
      </c>
      <c r="O491" s="166" t="s">
        <v>253</v>
      </c>
      <c r="P491" s="103"/>
    </row>
    <row r="492" spans="1:16" ht="15" customHeight="1">
      <c r="I492" s="48" t="s">
        <v>1880</v>
      </c>
      <c r="J492" s="138">
        <v>1.1000000000000001</v>
      </c>
      <c r="K492" s="138" t="s">
        <v>253</v>
      </c>
      <c r="L492" s="138">
        <f>AVERAGE(L484,L488)</f>
        <v>14</v>
      </c>
      <c r="M492" s="138" t="s">
        <v>253</v>
      </c>
      <c r="N492" s="138">
        <v>0.14000000000000001</v>
      </c>
      <c r="O492" s="167" t="s">
        <v>253</v>
      </c>
    </row>
    <row r="493" spans="1:16" ht="16" customHeight="1">
      <c r="I493" s="48" t="s">
        <v>1881</v>
      </c>
      <c r="J493" s="138">
        <v>8</v>
      </c>
      <c r="K493" s="138" t="s">
        <v>253</v>
      </c>
      <c r="L493" s="138">
        <f>AVERAGE(L485,L489)</f>
        <v>15</v>
      </c>
      <c r="M493" s="138" t="s">
        <v>253</v>
      </c>
      <c r="N493" s="138">
        <v>1.23</v>
      </c>
      <c r="O493" s="167" t="s">
        <v>253</v>
      </c>
    </row>
    <row r="494" spans="1:16" ht="15" customHeight="1">
      <c r="I494" s="48" t="s">
        <v>1882</v>
      </c>
      <c r="J494" s="138">
        <v>0.8</v>
      </c>
      <c r="K494" s="138" t="s">
        <v>253</v>
      </c>
      <c r="L494" s="138">
        <f>AVERAGE(L486,L490)</f>
        <v>60</v>
      </c>
      <c r="M494" s="138" t="s">
        <v>253</v>
      </c>
      <c r="N494" s="138">
        <v>0.47</v>
      </c>
      <c r="O494" s="167" t="s">
        <v>253</v>
      </c>
    </row>
    <row r="495" spans="1:16" ht="16" thickBot="1">
      <c r="I495" s="49" t="s">
        <v>1416</v>
      </c>
      <c r="J495" s="99">
        <f>ROUND(AVERAGE(J483:J490),1)</f>
        <v>3.6</v>
      </c>
      <c r="K495" s="99">
        <f>ROUND(STDEV(J483:J490),1)</f>
        <v>3.1</v>
      </c>
      <c r="L495" s="99">
        <f>ROUND(AVERAGE(L483:L490),1)</f>
        <v>43.5</v>
      </c>
      <c r="M495" s="99">
        <f>ROUND(STDEV(L483:L490),1)</f>
        <v>35.200000000000003</v>
      </c>
      <c r="N495" s="99">
        <f>ROUND(AVERAGE(N483:N490),1)</f>
        <v>1.4</v>
      </c>
      <c r="O495" s="100">
        <f>ROUND(STDEV(N483:N490),1)</f>
        <v>1.6</v>
      </c>
    </row>
    <row r="497" spans="1:16">
      <c r="A497" s="296"/>
      <c r="B497" s="296"/>
      <c r="C497" s="296"/>
      <c r="D497" s="296"/>
      <c r="E497" s="301"/>
      <c r="F497" s="296"/>
      <c r="G497" s="296"/>
      <c r="H497" s="296"/>
      <c r="I497" s="296"/>
      <c r="J497" s="301"/>
      <c r="K497" s="301"/>
      <c r="L497" s="301"/>
      <c r="M497" s="301"/>
      <c r="N497" s="301"/>
      <c r="O497" s="301"/>
      <c r="P497" s="296"/>
    </row>
    <row r="499" spans="1:16" ht="15">
      <c r="A499" s="21" t="s">
        <v>81</v>
      </c>
      <c r="B499" s="21" t="s">
        <v>82</v>
      </c>
      <c r="C499" s="21" t="s">
        <v>271</v>
      </c>
      <c r="D499" s="21" t="s">
        <v>272</v>
      </c>
      <c r="E499" s="22">
        <v>2009</v>
      </c>
      <c r="F499" s="21">
        <v>7</v>
      </c>
      <c r="G499" s="21" t="s">
        <v>273</v>
      </c>
      <c r="H499" s="21" t="s">
        <v>274</v>
      </c>
      <c r="I499" s="37" t="s">
        <v>22</v>
      </c>
      <c r="J499" s="22">
        <v>6</v>
      </c>
      <c r="K499" s="22" t="s">
        <v>273</v>
      </c>
      <c r="L499" s="22">
        <v>52</v>
      </c>
      <c r="M499" s="22" t="s">
        <v>273</v>
      </c>
      <c r="N499" s="22">
        <f t="shared" ref="N499:N522" si="42">ROUND(J499*(L499/100),1)</f>
        <v>3.1</v>
      </c>
      <c r="O499" s="22" t="s">
        <v>273</v>
      </c>
      <c r="P499" s="21" t="s">
        <v>27</v>
      </c>
    </row>
    <row r="500" spans="1:16" ht="15">
      <c r="A500" s="21" t="s">
        <v>81</v>
      </c>
      <c r="B500" s="21" t="s">
        <v>82</v>
      </c>
      <c r="C500" s="21" t="s">
        <v>271</v>
      </c>
      <c r="D500" s="21" t="s">
        <v>272</v>
      </c>
      <c r="E500" s="22">
        <v>2009</v>
      </c>
      <c r="F500" s="21">
        <v>7</v>
      </c>
      <c r="G500" s="21" t="s">
        <v>273</v>
      </c>
      <c r="H500" s="21" t="s">
        <v>274</v>
      </c>
      <c r="I500" s="37" t="s">
        <v>22</v>
      </c>
      <c r="J500" s="22">
        <v>3.5</v>
      </c>
      <c r="K500" s="22" t="s">
        <v>273</v>
      </c>
      <c r="L500" s="22">
        <v>40</v>
      </c>
      <c r="M500" s="22" t="s">
        <v>273</v>
      </c>
      <c r="N500" s="22">
        <f t="shared" si="42"/>
        <v>1.4</v>
      </c>
      <c r="O500" s="22" t="s">
        <v>273</v>
      </c>
      <c r="P500" s="21" t="s">
        <v>27</v>
      </c>
    </row>
    <row r="501" spans="1:16" ht="15">
      <c r="A501" s="21" t="s">
        <v>81</v>
      </c>
      <c r="B501" s="21" t="s">
        <v>82</v>
      </c>
      <c r="C501" s="21" t="s">
        <v>271</v>
      </c>
      <c r="D501" s="21" t="s">
        <v>272</v>
      </c>
      <c r="E501" s="22">
        <v>2009</v>
      </c>
      <c r="F501" s="21">
        <v>7</v>
      </c>
      <c r="G501" s="21" t="s">
        <v>273</v>
      </c>
      <c r="H501" s="21" t="s">
        <v>274</v>
      </c>
      <c r="I501" s="37" t="s">
        <v>22</v>
      </c>
      <c r="J501" s="22">
        <v>6.9</v>
      </c>
      <c r="K501" s="22" t="s">
        <v>273</v>
      </c>
      <c r="L501" s="22">
        <v>58</v>
      </c>
      <c r="M501" s="22" t="s">
        <v>273</v>
      </c>
      <c r="N501" s="22">
        <f t="shared" si="42"/>
        <v>4</v>
      </c>
      <c r="O501" s="22" t="s">
        <v>273</v>
      </c>
      <c r="P501" s="21" t="s">
        <v>27</v>
      </c>
    </row>
    <row r="502" spans="1:16" ht="15">
      <c r="A502" s="21" t="s">
        <v>81</v>
      </c>
      <c r="B502" s="21" t="s">
        <v>82</v>
      </c>
      <c r="C502" s="21" t="s">
        <v>271</v>
      </c>
      <c r="D502" s="21" t="s">
        <v>272</v>
      </c>
      <c r="E502" s="22">
        <v>2009</v>
      </c>
      <c r="F502" s="21">
        <v>7</v>
      </c>
      <c r="G502" s="21" t="s">
        <v>273</v>
      </c>
      <c r="H502" s="21" t="s">
        <v>274</v>
      </c>
      <c r="I502" s="37" t="s">
        <v>22</v>
      </c>
      <c r="J502" s="22">
        <v>6.3</v>
      </c>
      <c r="K502" s="22" t="s">
        <v>273</v>
      </c>
      <c r="L502" s="22">
        <v>62</v>
      </c>
      <c r="M502" s="22" t="s">
        <v>273</v>
      </c>
      <c r="N502" s="22">
        <f t="shared" si="42"/>
        <v>3.9</v>
      </c>
      <c r="O502" s="22" t="s">
        <v>273</v>
      </c>
      <c r="P502" s="21" t="s">
        <v>27</v>
      </c>
    </row>
    <row r="503" spans="1:16" ht="15">
      <c r="A503" s="21" t="s">
        <v>81</v>
      </c>
      <c r="B503" s="21" t="s">
        <v>82</v>
      </c>
      <c r="C503" s="21" t="s">
        <v>271</v>
      </c>
      <c r="D503" s="21" t="s">
        <v>272</v>
      </c>
      <c r="E503" s="22">
        <v>2009</v>
      </c>
      <c r="F503" s="21">
        <v>7</v>
      </c>
      <c r="G503" s="21" t="s">
        <v>273</v>
      </c>
      <c r="H503" s="21" t="s">
        <v>274</v>
      </c>
      <c r="I503" s="37" t="s">
        <v>21</v>
      </c>
      <c r="J503" s="22">
        <v>5.7</v>
      </c>
      <c r="K503" s="22" t="s">
        <v>219</v>
      </c>
      <c r="L503" s="22">
        <v>80</v>
      </c>
      <c r="M503" s="22" t="s">
        <v>219</v>
      </c>
      <c r="N503" s="22">
        <f t="shared" si="42"/>
        <v>4.5999999999999996</v>
      </c>
      <c r="O503" s="22" t="s">
        <v>219</v>
      </c>
      <c r="P503" s="21" t="s">
        <v>216</v>
      </c>
    </row>
    <row r="504" spans="1:16" ht="15">
      <c r="A504" s="21" t="s">
        <v>81</v>
      </c>
      <c r="B504" s="21" t="s">
        <v>82</v>
      </c>
      <c r="C504" s="21" t="s">
        <v>271</v>
      </c>
      <c r="D504" s="21" t="s">
        <v>272</v>
      </c>
      <c r="E504" s="22">
        <v>2009</v>
      </c>
      <c r="F504" s="21">
        <v>7</v>
      </c>
      <c r="G504" s="21" t="s">
        <v>273</v>
      </c>
      <c r="H504" s="21" t="s">
        <v>274</v>
      </c>
      <c r="I504" s="37" t="s">
        <v>21</v>
      </c>
      <c r="J504" s="22">
        <v>6.4</v>
      </c>
      <c r="K504" s="22" t="s">
        <v>219</v>
      </c>
      <c r="L504" s="22">
        <v>79</v>
      </c>
      <c r="M504" s="22" t="s">
        <v>219</v>
      </c>
      <c r="N504" s="22">
        <f t="shared" si="42"/>
        <v>5.0999999999999996</v>
      </c>
      <c r="O504" s="22" t="s">
        <v>219</v>
      </c>
      <c r="P504" s="21" t="s">
        <v>216</v>
      </c>
    </row>
    <row r="505" spans="1:16" ht="15">
      <c r="A505" s="21" t="s">
        <v>81</v>
      </c>
      <c r="B505" s="21" t="s">
        <v>82</v>
      </c>
      <c r="C505" s="21" t="s">
        <v>271</v>
      </c>
      <c r="D505" s="21" t="s">
        <v>272</v>
      </c>
      <c r="E505" s="22">
        <v>2009</v>
      </c>
      <c r="F505" s="21">
        <v>7</v>
      </c>
      <c r="G505" s="21" t="s">
        <v>273</v>
      </c>
      <c r="H505" s="21" t="s">
        <v>274</v>
      </c>
      <c r="I505" s="37" t="s">
        <v>23</v>
      </c>
      <c r="J505" s="22">
        <v>1.1000000000000001</v>
      </c>
      <c r="K505" s="22" t="s">
        <v>273</v>
      </c>
      <c r="L505" s="22">
        <v>6</v>
      </c>
      <c r="M505" s="22" t="s">
        <v>273</v>
      </c>
      <c r="N505" s="22">
        <f t="shared" si="42"/>
        <v>0.1</v>
      </c>
      <c r="O505" s="22" t="s">
        <v>273</v>
      </c>
      <c r="P505" s="21" t="s">
        <v>27</v>
      </c>
    </row>
    <row r="506" spans="1:16" ht="15">
      <c r="A506" s="21" t="s">
        <v>81</v>
      </c>
      <c r="B506" s="21" t="s">
        <v>82</v>
      </c>
      <c r="C506" s="21" t="s">
        <v>271</v>
      </c>
      <c r="D506" s="21" t="s">
        <v>272</v>
      </c>
      <c r="E506" s="22">
        <v>2009</v>
      </c>
      <c r="F506" s="21">
        <v>7</v>
      </c>
      <c r="G506" s="21" t="s">
        <v>273</v>
      </c>
      <c r="H506" s="21" t="s">
        <v>274</v>
      </c>
      <c r="I506" s="37" t="s">
        <v>23</v>
      </c>
      <c r="J506" s="22">
        <v>0.7</v>
      </c>
      <c r="K506" s="22" t="s">
        <v>273</v>
      </c>
      <c r="L506" s="22">
        <v>9</v>
      </c>
      <c r="M506" s="22" t="s">
        <v>273</v>
      </c>
      <c r="N506" s="22">
        <f t="shared" si="42"/>
        <v>0.1</v>
      </c>
      <c r="O506" s="22" t="s">
        <v>273</v>
      </c>
      <c r="P506" s="21" t="s">
        <v>27</v>
      </c>
    </row>
    <row r="507" spans="1:16" ht="15">
      <c r="A507" s="21" t="s">
        <v>81</v>
      </c>
      <c r="B507" s="21" t="s">
        <v>82</v>
      </c>
      <c r="C507" s="21" t="s">
        <v>271</v>
      </c>
      <c r="D507" s="21" t="s">
        <v>272</v>
      </c>
      <c r="E507" s="22">
        <v>2009</v>
      </c>
      <c r="F507" s="21">
        <v>7</v>
      </c>
      <c r="G507" s="21" t="s">
        <v>273</v>
      </c>
      <c r="H507" s="21" t="s">
        <v>274</v>
      </c>
      <c r="I507" s="37" t="s">
        <v>23</v>
      </c>
      <c r="J507" s="22">
        <v>1</v>
      </c>
      <c r="K507" s="22" t="s">
        <v>273</v>
      </c>
      <c r="L507" s="22">
        <v>32</v>
      </c>
      <c r="M507" s="22" t="s">
        <v>273</v>
      </c>
      <c r="N507" s="22">
        <f t="shared" si="42"/>
        <v>0.3</v>
      </c>
      <c r="O507" s="22" t="s">
        <v>273</v>
      </c>
      <c r="P507" s="21" t="s">
        <v>27</v>
      </c>
    </row>
    <row r="508" spans="1:16" ht="15">
      <c r="A508" s="21" t="s">
        <v>81</v>
      </c>
      <c r="B508" s="21" t="s">
        <v>82</v>
      </c>
      <c r="C508" s="21" t="s">
        <v>271</v>
      </c>
      <c r="D508" s="21" t="s">
        <v>272</v>
      </c>
      <c r="E508" s="22">
        <v>2009</v>
      </c>
      <c r="F508" s="21">
        <v>7</v>
      </c>
      <c r="G508" s="21" t="s">
        <v>273</v>
      </c>
      <c r="H508" s="21" t="s">
        <v>274</v>
      </c>
      <c r="I508" s="37" t="s">
        <v>23</v>
      </c>
      <c r="J508" s="22">
        <v>1.2</v>
      </c>
      <c r="K508" s="22" t="s">
        <v>273</v>
      </c>
      <c r="L508" s="22">
        <v>18</v>
      </c>
      <c r="M508" s="22" t="s">
        <v>273</v>
      </c>
      <c r="N508" s="22">
        <f t="shared" si="42"/>
        <v>0.2</v>
      </c>
      <c r="O508" s="22" t="s">
        <v>273</v>
      </c>
      <c r="P508" s="21" t="s">
        <v>27</v>
      </c>
    </row>
    <row r="509" spans="1:16" ht="15">
      <c r="A509" s="21" t="s">
        <v>81</v>
      </c>
      <c r="B509" s="21" t="s">
        <v>82</v>
      </c>
      <c r="C509" s="21" t="s">
        <v>271</v>
      </c>
      <c r="D509" s="21" t="s">
        <v>272</v>
      </c>
      <c r="E509" s="22">
        <v>2009</v>
      </c>
      <c r="F509" s="21">
        <v>7</v>
      </c>
      <c r="G509" s="21" t="s">
        <v>273</v>
      </c>
      <c r="H509" s="21" t="s">
        <v>274</v>
      </c>
      <c r="I509" s="37" t="s">
        <v>217</v>
      </c>
      <c r="J509" s="22">
        <v>0.8</v>
      </c>
      <c r="K509" s="22" t="s">
        <v>273</v>
      </c>
      <c r="L509" s="22">
        <v>57</v>
      </c>
      <c r="M509" s="22" t="s">
        <v>273</v>
      </c>
      <c r="N509" s="22">
        <f t="shared" si="42"/>
        <v>0.5</v>
      </c>
      <c r="O509" s="22" t="s">
        <v>273</v>
      </c>
      <c r="P509" s="21" t="s">
        <v>216</v>
      </c>
    </row>
    <row r="510" spans="1:16" ht="15">
      <c r="A510" s="21" t="s">
        <v>81</v>
      </c>
      <c r="B510" s="21" t="s">
        <v>82</v>
      </c>
      <c r="C510" s="21" t="s">
        <v>271</v>
      </c>
      <c r="D510" s="21" t="s">
        <v>272</v>
      </c>
      <c r="E510" s="22">
        <v>2009</v>
      </c>
      <c r="F510" s="21">
        <v>7</v>
      </c>
      <c r="G510" s="21" t="s">
        <v>273</v>
      </c>
      <c r="H510" s="21" t="s">
        <v>274</v>
      </c>
      <c r="I510" s="37" t="s">
        <v>217</v>
      </c>
      <c r="J510" s="45">
        <v>0.7</v>
      </c>
      <c r="K510" s="45" t="s">
        <v>273</v>
      </c>
      <c r="L510" s="45">
        <v>42</v>
      </c>
      <c r="M510" s="45" t="s">
        <v>273</v>
      </c>
      <c r="N510" s="22">
        <f t="shared" si="42"/>
        <v>0.3</v>
      </c>
      <c r="O510" s="45" t="s">
        <v>273</v>
      </c>
      <c r="P510" s="21" t="s">
        <v>216</v>
      </c>
    </row>
    <row r="511" spans="1:16" ht="15">
      <c r="A511" s="21" t="s">
        <v>81</v>
      </c>
      <c r="B511" s="21" t="s">
        <v>82</v>
      </c>
      <c r="C511" s="21" t="s">
        <v>271</v>
      </c>
      <c r="D511" s="21" t="s">
        <v>272</v>
      </c>
      <c r="E511" s="22">
        <v>2009</v>
      </c>
      <c r="F511" s="21">
        <v>7</v>
      </c>
      <c r="G511" s="21" t="s">
        <v>273</v>
      </c>
      <c r="H511" s="21" t="s">
        <v>274</v>
      </c>
      <c r="I511" s="37" t="s">
        <v>24</v>
      </c>
      <c r="J511" s="22">
        <v>0.52</v>
      </c>
      <c r="K511" s="22" t="s">
        <v>273</v>
      </c>
      <c r="L511" s="22">
        <v>1</v>
      </c>
      <c r="M511" s="22" t="s">
        <v>273</v>
      </c>
      <c r="N511" s="22">
        <f t="shared" si="42"/>
        <v>0</v>
      </c>
      <c r="O511" s="22" t="s">
        <v>273</v>
      </c>
      <c r="P511" s="21" t="s">
        <v>27</v>
      </c>
    </row>
    <row r="512" spans="1:16" ht="15">
      <c r="A512" s="21" t="s">
        <v>81</v>
      </c>
      <c r="B512" s="21" t="s">
        <v>82</v>
      </c>
      <c r="C512" s="21" t="s">
        <v>271</v>
      </c>
      <c r="D512" s="21" t="s">
        <v>272</v>
      </c>
      <c r="E512" s="22">
        <v>2009</v>
      </c>
      <c r="F512" s="21">
        <v>7</v>
      </c>
      <c r="G512" s="21" t="s">
        <v>273</v>
      </c>
      <c r="H512" s="21" t="s">
        <v>274</v>
      </c>
      <c r="I512" s="37" t="s">
        <v>24</v>
      </c>
      <c r="J512" s="22">
        <v>0.17</v>
      </c>
      <c r="K512" s="22" t="s">
        <v>273</v>
      </c>
      <c r="L512" s="22">
        <v>7</v>
      </c>
      <c r="M512" s="22" t="s">
        <v>273</v>
      </c>
      <c r="N512" s="22">
        <f t="shared" si="42"/>
        <v>0</v>
      </c>
      <c r="O512" s="22" t="s">
        <v>273</v>
      </c>
      <c r="P512" s="21" t="s">
        <v>27</v>
      </c>
    </row>
    <row r="513" spans="1:16" ht="15">
      <c r="A513" s="21" t="s">
        <v>81</v>
      </c>
      <c r="B513" s="21" t="s">
        <v>82</v>
      </c>
      <c r="C513" s="21" t="s">
        <v>271</v>
      </c>
      <c r="D513" s="21" t="s">
        <v>272</v>
      </c>
      <c r="E513" s="22">
        <v>2009</v>
      </c>
      <c r="F513" s="21">
        <v>7</v>
      </c>
      <c r="G513" s="21" t="s">
        <v>273</v>
      </c>
      <c r="H513" s="21" t="s">
        <v>274</v>
      </c>
      <c r="I513" s="37" t="s">
        <v>24</v>
      </c>
      <c r="J513" s="22">
        <v>0.16</v>
      </c>
      <c r="K513" s="22" t="s">
        <v>273</v>
      </c>
      <c r="L513" s="22">
        <v>20</v>
      </c>
      <c r="M513" s="22" t="s">
        <v>273</v>
      </c>
      <c r="N513" s="22">
        <f t="shared" si="42"/>
        <v>0</v>
      </c>
      <c r="O513" s="22" t="s">
        <v>273</v>
      </c>
      <c r="P513" s="21" t="s">
        <v>27</v>
      </c>
    </row>
    <row r="514" spans="1:16" ht="15">
      <c r="A514" s="21" t="s">
        <v>81</v>
      </c>
      <c r="B514" s="21" t="s">
        <v>82</v>
      </c>
      <c r="C514" s="21" t="s">
        <v>271</v>
      </c>
      <c r="D514" s="21" t="s">
        <v>272</v>
      </c>
      <c r="E514" s="22">
        <v>2009</v>
      </c>
      <c r="F514" s="21">
        <v>7</v>
      </c>
      <c r="G514" s="21" t="s">
        <v>273</v>
      </c>
      <c r="H514" s="21" t="s">
        <v>274</v>
      </c>
      <c r="I514" s="37" t="s">
        <v>24</v>
      </c>
      <c r="J514" s="22">
        <v>0.09</v>
      </c>
      <c r="K514" s="22" t="s">
        <v>273</v>
      </c>
      <c r="L514" s="22">
        <v>18</v>
      </c>
      <c r="M514" s="22" t="s">
        <v>273</v>
      </c>
      <c r="N514" s="22">
        <f t="shared" si="42"/>
        <v>0</v>
      </c>
      <c r="O514" s="22" t="s">
        <v>273</v>
      </c>
      <c r="P514" s="21" t="s">
        <v>27</v>
      </c>
    </row>
    <row r="515" spans="1:16" ht="15">
      <c r="A515" s="21" t="s">
        <v>81</v>
      </c>
      <c r="B515" s="21" t="s">
        <v>82</v>
      </c>
      <c r="C515" s="21" t="s">
        <v>271</v>
      </c>
      <c r="D515" s="21" t="s">
        <v>272</v>
      </c>
      <c r="E515" s="22">
        <v>2009</v>
      </c>
      <c r="F515" s="21">
        <v>7</v>
      </c>
      <c r="G515" s="21" t="s">
        <v>273</v>
      </c>
      <c r="H515" s="21" t="s">
        <v>274</v>
      </c>
      <c r="I515" s="37" t="s">
        <v>218</v>
      </c>
      <c r="J515" s="22">
        <v>0.16</v>
      </c>
      <c r="K515" s="22" t="s">
        <v>273</v>
      </c>
      <c r="L515" s="22">
        <v>34</v>
      </c>
      <c r="M515" s="22" t="s">
        <v>273</v>
      </c>
      <c r="N515" s="22">
        <f t="shared" si="42"/>
        <v>0.1</v>
      </c>
      <c r="O515" s="22" t="s">
        <v>273</v>
      </c>
      <c r="P515" s="21" t="s">
        <v>216</v>
      </c>
    </row>
    <row r="516" spans="1:16" ht="15">
      <c r="A516" s="21" t="s">
        <v>81</v>
      </c>
      <c r="B516" s="21" t="s">
        <v>82</v>
      </c>
      <c r="C516" s="21" t="s">
        <v>271</v>
      </c>
      <c r="D516" s="21" t="s">
        <v>272</v>
      </c>
      <c r="E516" s="22">
        <v>2009</v>
      </c>
      <c r="F516" s="21">
        <v>7</v>
      </c>
      <c r="G516" s="21" t="s">
        <v>273</v>
      </c>
      <c r="H516" s="21" t="s">
        <v>274</v>
      </c>
      <c r="I516" s="37" t="s">
        <v>218</v>
      </c>
      <c r="J516" s="22">
        <v>0.21</v>
      </c>
      <c r="K516" s="22" t="s">
        <v>273</v>
      </c>
      <c r="L516" s="22">
        <v>31</v>
      </c>
      <c r="M516" s="22" t="s">
        <v>273</v>
      </c>
      <c r="N516" s="22">
        <f t="shared" si="42"/>
        <v>0.1</v>
      </c>
      <c r="O516" s="22" t="s">
        <v>273</v>
      </c>
      <c r="P516" s="21" t="s">
        <v>216</v>
      </c>
    </row>
    <row r="517" spans="1:16" ht="15">
      <c r="A517" s="21" t="s">
        <v>81</v>
      </c>
      <c r="B517" s="21" t="s">
        <v>82</v>
      </c>
      <c r="C517" s="21" t="s">
        <v>271</v>
      </c>
      <c r="D517" s="21" t="s">
        <v>272</v>
      </c>
      <c r="E517" s="22">
        <v>2009</v>
      </c>
      <c r="F517" s="21">
        <v>7</v>
      </c>
      <c r="G517" s="21" t="s">
        <v>273</v>
      </c>
      <c r="H517" s="21" t="s">
        <v>274</v>
      </c>
      <c r="I517" s="37" t="s">
        <v>25</v>
      </c>
      <c r="J517" s="22">
        <v>1.03</v>
      </c>
      <c r="K517" s="22" t="s">
        <v>273</v>
      </c>
      <c r="L517" s="22">
        <v>37</v>
      </c>
      <c r="M517" s="22" t="s">
        <v>273</v>
      </c>
      <c r="N517" s="22">
        <f t="shared" si="42"/>
        <v>0.4</v>
      </c>
      <c r="O517" s="22" t="s">
        <v>273</v>
      </c>
      <c r="P517" s="21" t="s">
        <v>27</v>
      </c>
    </row>
    <row r="518" spans="1:16" ht="15">
      <c r="A518" s="21" t="s">
        <v>81</v>
      </c>
      <c r="B518" s="21" t="s">
        <v>82</v>
      </c>
      <c r="C518" s="21" t="s">
        <v>271</v>
      </c>
      <c r="D518" s="21" t="s">
        <v>272</v>
      </c>
      <c r="E518" s="22">
        <v>2009</v>
      </c>
      <c r="F518" s="21">
        <v>7</v>
      </c>
      <c r="G518" s="21" t="s">
        <v>273</v>
      </c>
      <c r="H518" s="21" t="s">
        <v>274</v>
      </c>
      <c r="I518" s="37" t="s">
        <v>25</v>
      </c>
      <c r="J518" s="22">
        <v>0.65</v>
      </c>
      <c r="K518" s="22" t="s">
        <v>273</v>
      </c>
      <c r="L518" s="22">
        <v>74</v>
      </c>
      <c r="M518" s="22" t="s">
        <v>273</v>
      </c>
      <c r="N518" s="22">
        <f t="shared" si="42"/>
        <v>0.5</v>
      </c>
      <c r="O518" s="22" t="s">
        <v>273</v>
      </c>
      <c r="P518" s="21" t="s">
        <v>27</v>
      </c>
    </row>
    <row r="519" spans="1:16" ht="15">
      <c r="A519" s="21" t="s">
        <v>81</v>
      </c>
      <c r="B519" s="21" t="s">
        <v>82</v>
      </c>
      <c r="C519" s="21" t="s">
        <v>271</v>
      </c>
      <c r="D519" s="21" t="s">
        <v>272</v>
      </c>
      <c r="E519" s="22">
        <v>2009</v>
      </c>
      <c r="F519" s="21">
        <v>7</v>
      </c>
      <c r="G519" s="21" t="s">
        <v>273</v>
      </c>
      <c r="H519" s="21" t="s">
        <v>274</v>
      </c>
      <c r="I519" s="37" t="s">
        <v>25</v>
      </c>
      <c r="J519" s="22">
        <v>0.75</v>
      </c>
      <c r="K519" s="22" t="s">
        <v>273</v>
      </c>
      <c r="L519" s="22">
        <v>56</v>
      </c>
      <c r="M519" s="22" t="s">
        <v>273</v>
      </c>
      <c r="N519" s="22">
        <f t="shared" si="42"/>
        <v>0.4</v>
      </c>
      <c r="O519" s="22" t="s">
        <v>273</v>
      </c>
      <c r="P519" s="21" t="s">
        <v>27</v>
      </c>
    </row>
    <row r="520" spans="1:16" ht="15">
      <c r="A520" s="21" t="s">
        <v>81</v>
      </c>
      <c r="B520" s="21" t="s">
        <v>82</v>
      </c>
      <c r="C520" s="21" t="s">
        <v>271</v>
      </c>
      <c r="D520" s="21" t="s">
        <v>272</v>
      </c>
      <c r="E520" s="22">
        <v>2009</v>
      </c>
      <c r="F520" s="21">
        <v>7</v>
      </c>
      <c r="G520" s="21" t="s">
        <v>273</v>
      </c>
      <c r="H520" s="21" t="s">
        <v>274</v>
      </c>
      <c r="I520" s="37" t="s">
        <v>25</v>
      </c>
      <c r="J520" s="22">
        <v>1.24</v>
      </c>
      <c r="K520" s="22" t="s">
        <v>273</v>
      </c>
      <c r="L520" s="22">
        <v>51</v>
      </c>
      <c r="M520" s="22" t="s">
        <v>273</v>
      </c>
      <c r="N520" s="22">
        <f t="shared" si="42"/>
        <v>0.6</v>
      </c>
      <c r="O520" s="22" t="s">
        <v>273</v>
      </c>
      <c r="P520" s="21" t="s">
        <v>27</v>
      </c>
    </row>
    <row r="521" spans="1:16" ht="15">
      <c r="A521" s="21" t="s">
        <v>81</v>
      </c>
      <c r="B521" s="21" t="s">
        <v>82</v>
      </c>
      <c r="C521" s="21" t="s">
        <v>271</v>
      </c>
      <c r="D521" s="21" t="s">
        <v>272</v>
      </c>
      <c r="E521" s="22">
        <v>2009</v>
      </c>
      <c r="F521" s="21">
        <v>7</v>
      </c>
      <c r="G521" s="21" t="s">
        <v>273</v>
      </c>
      <c r="H521" s="21" t="s">
        <v>274</v>
      </c>
      <c r="I521" s="61" t="s">
        <v>25</v>
      </c>
      <c r="J521" s="22">
        <v>4.7699999999999996</v>
      </c>
      <c r="K521" s="22" t="s">
        <v>273</v>
      </c>
      <c r="L521" s="22">
        <v>50</v>
      </c>
      <c r="M521" s="22" t="s">
        <v>273</v>
      </c>
      <c r="N521" s="22">
        <f t="shared" si="42"/>
        <v>2.4</v>
      </c>
      <c r="O521" s="22" t="s">
        <v>273</v>
      </c>
      <c r="P521" s="21" t="s">
        <v>216</v>
      </c>
    </row>
    <row r="522" spans="1:16" ht="16" thickBot="1">
      <c r="A522" s="21" t="s">
        <v>81</v>
      </c>
      <c r="B522" s="21" t="s">
        <v>82</v>
      </c>
      <c r="C522" s="21" t="s">
        <v>271</v>
      </c>
      <c r="D522" s="21" t="s">
        <v>272</v>
      </c>
      <c r="E522" s="22">
        <v>2009</v>
      </c>
      <c r="F522" s="21">
        <v>7</v>
      </c>
      <c r="G522" s="21" t="s">
        <v>273</v>
      </c>
      <c r="H522" s="21" t="s">
        <v>274</v>
      </c>
      <c r="I522" s="61" t="s">
        <v>25</v>
      </c>
      <c r="J522" s="45">
        <v>1.0900000000000001</v>
      </c>
      <c r="K522" s="45" t="s">
        <v>273</v>
      </c>
      <c r="L522" s="45">
        <v>15</v>
      </c>
      <c r="M522" s="45" t="s">
        <v>273</v>
      </c>
      <c r="N522" s="22">
        <f t="shared" si="42"/>
        <v>0.2</v>
      </c>
      <c r="O522" s="45" t="s">
        <v>273</v>
      </c>
      <c r="P522" s="21" t="s">
        <v>216</v>
      </c>
    </row>
    <row r="523" spans="1:16" ht="15">
      <c r="I523" s="47" t="s">
        <v>22</v>
      </c>
      <c r="J523" s="653">
        <f>ROUND(AVERAGE(J499:J504),1)</f>
        <v>5.8</v>
      </c>
      <c r="K523" s="653">
        <f>ROUND(STDEV(J499:J504),1)</f>
        <v>1.2</v>
      </c>
      <c r="L523" s="653">
        <f>ROUND(AVERAGE(L499:L504),1)</f>
        <v>61.8</v>
      </c>
      <c r="M523" s="653">
        <f>ROUND(STDEV(L499:L504),1)</f>
        <v>15.6</v>
      </c>
      <c r="N523" s="653">
        <f>ROUND(AVERAGE(N499:N504),1)</f>
        <v>3.7</v>
      </c>
      <c r="O523" s="653">
        <f>ROUND(STDEV(N499:N504),1)</f>
        <v>1.3</v>
      </c>
    </row>
    <row r="524" spans="1:16" ht="15">
      <c r="I524" s="48" t="s">
        <v>23</v>
      </c>
      <c r="J524" s="654">
        <f>ROUND(AVERAGE(J505:J510),1)</f>
        <v>0.9</v>
      </c>
      <c r="K524" s="654">
        <f>ROUND(STDEV(J505:J510),1)</f>
        <v>0.2</v>
      </c>
      <c r="L524" s="654">
        <f>ROUND(AVERAGE(L505:L510),1)</f>
        <v>27.3</v>
      </c>
      <c r="M524" s="654">
        <f>ROUND(STDEV(L505:L510),1)</f>
        <v>20</v>
      </c>
      <c r="N524" s="654">
        <f>ROUND(AVERAGE(N505:N510),1)</f>
        <v>0.3</v>
      </c>
      <c r="O524" s="654">
        <f>ROUND(STDEV(N505:N510),1)</f>
        <v>0.2</v>
      </c>
    </row>
    <row r="525" spans="1:16" ht="15">
      <c r="I525" s="48" t="s">
        <v>24</v>
      </c>
      <c r="J525" s="654">
        <f>ROUND(AVERAGE(J511:J516),1)</f>
        <v>0.2</v>
      </c>
      <c r="K525" s="654">
        <f>ROUND(STDEV(J511:J516),1)</f>
        <v>0.2</v>
      </c>
      <c r="L525" s="654">
        <f>ROUND(AVERAGE(L511:L516),1)</f>
        <v>18.5</v>
      </c>
      <c r="M525" s="654">
        <f>ROUND(STDEV(L511:L516),1)</f>
        <v>12.9</v>
      </c>
      <c r="N525" s="654">
        <f>ROUND(AVERAGE(N511:N516),1)</f>
        <v>0</v>
      </c>
      <c r="O525" s="654">
        <f>ROUND(STDEV(N511:N516),1)</f>
        <v>0.1</v>
      </c>
    </row>
    <row r="526" spans="1:16" ht="15">
      <c r="I526" s="48" t="s">
        <v>25</v>
      </c>
      <c r="J526" s="654">
        <f>ROUND(AVERAGE(J517:J522),1)</f>
        <v>1.6</v>
      </c>
      <c r="K526" s="654">
        <f>ROUND(STDEV(J517:J522),1)</f>
        <v>1.6</v>
      </c>
      <c r="L526" s="654">
        <f>ROUND(AVERAGE(L517:L522),1)</f>
        <v>47.2</v>
      </c>
      <c r="M526" s="654">
        <f>ROUND(STDEV(L517:L522),1)</f>
        <v>19.8</v>
      </c>
      <c r="N526" s="654">
        <f>ROUND(AVERAGE(N517:N522),1)</f>
        <v>0.8</v>
      </c>
      <c r="O526" s="654">
        <f>ROUND(STDEV(N517:N522),1)</f>
        <v>0.8</v>
      </c>
    </row>
    <row r="527" spans="1:16" ht="16" thickBot="1">
      <c r="I527" s="49" t="s">
        <v>26</v>
      </c>
      <c r="J527" s="655">
        <f>SUM(J523:J526)</f>
        <v>8.5</v>
      </c>
      <c r="K527" s="655" t="s">
        <v>273</v>
      </c>
      <c r="L527" s="655">
        <f>AVERAGE(L523:L526)</f>
        <v>38.700000000000003</v>
      </c>
      <c r="M527" s="655" t="s">
        <v>328</v>
      </c>
      <c r="N527" s="655">
        <f>SUM(N523:N526)</f>
        <v>4.8</v>
      </c>
      <c r="O527" s="656" t="s">
        <v>219</v>
      </c>
    </row>
    <row r="529" spans="1:17">
      <c r="A529" s="296"/>
      <c r="B529" s="296"/>
      <c r="C529" s="296"/>
      <c r="D529" s="296"/>
      <c r="E529" s="301"/>
      <c r="F529" s="296"/>
      <c r="G529" s="296"/>
      <c r="H529" s="296"/>
      <c r="I529" s="296"/>
      <c r="J529" s="301"/>
      <c r="K529" s="301"/>
      <c r="L529" s="301"/>
      <c r="M529" s="301"/>
      <c r="N529" s="301"/>
      <c r="O529" s="301"/>
      <c r="P529" s="296"/>
    </row>
    <row r="530" spans="1:17" s="1" customFormat="1">
      <c r="A530" s="35"/>
      <c r="B530" s="5"/>
      <c r="C530" s="5"/>
      <c r="D530" s="3"/>
      <c r="E530" s="74"/>
      <c r="F530" s="3"/>
      <c r="G530" s="3"/>
      <c r="H530" s="3"/>
      <c r="I530" s="3"/>
      <c r="J530" s="74"/>
      <c r="K530" s="74"/>
      <c r="L530" s="74"/>
      <c r="M530" s="74"/>
      <c r="N530" s="74"/>
      <c r="O530" s="74"/>
      <c r="P530" s="3"/>
      <c r="Q530" s="3"/>
    </row>
    <row r="531" spans="1:17">
      <c r="A531" s="19" t="s">
        <v>1670</v>
      </c>
      <c r="B531" s="29" t="s">
        <v>1671</v>
      </c>
      <c r="C531" s="29" t="s">
        <v>1672</v>
      </c>
      <c r="D531" s="19" t="s">
        <v>1673</v>
      </c>
      <c r="E531" s="22">
        <v>2000</v>
      </c>
      <c r="F531" s="19">
        <v>5</v>
      </c>
      <c r="G531" s="19">
        <v>5</v>
      </c>
      <c r="H531" s="19" t="s">
        <v>936</v>
      </c>
      <c r="I531" s="19" t="s">
        <v>1674</v>
      </c>
      <c r="J531" s="22">
        <f t="shared" ref="J531:J554" si="43">(N531/L531)*100</f>
        <v>10.94885496183206</v>
      </c>
      <c r="K531" s="22" t="s">
        <v>986</v>
      </c>
      <c r="L531" s="22">
        <v>26.2</v>
      </c>
      <c r="M531" s="22" t="s">
        <v>986</v>
      </c>
      <c r="N531" s="22">
        <f>42*0.0683</f>
        <v>2.8685999999999998</v>
      </c>
      <c r="O531" s="22" t="s">
        <v>986</v>
      </c>
      <c r="P531" s="19" t="s">
        <v>187</v>
      </c>
      <c r="Q531" s="140"/>
    </row>
    <row r="532" spans="1:17">
      <c r="A532" s="19"/>
      <c r="B532" s="29"/>
      <c r="C532" s="29"/>
      <c r="D532" s="19"/>
      <c r="E532" s="22"/>
      <c r="F532" s="19"/>
      <c r="G532" s="19"/>
      <c r="H532" s="19"/>
      <c r="I532" s="19" t="s">
        <v>1675</v>
      </c>
      <c r="J532" s="22">
        <f t="shared" si="43"/>
        <v>18.26871165644172</v>
      </c>
      <c r="K532" s="22" t="s">
        <v>986</v>
      </c>
      <c r="L532" s="22">
        <v>16.3</v>
      </c>
      <c r="M532" s="22" t="s">
        <v>986</v>
      </c>
      <c r="N532" s="22">
        <f>42*0.0709</f>
        <v>2.9778000000000002</v>
      </c>
      <c r="O532" s="22" t="s">
        <v>986</v>
      </c>
      <c r="P532" s="19" t="s">
        <v>187</v>
      </c>
      <c r="Q532" s="140"/>
    </row>
    <row r="533" spans="1:17">
      <c r="A533" s="19"/>
      <c r="B533" s="29"/>
      <c r="C533" s="29"/>
      <c r="D533" s="19"/>
      <c r="E533" s="22"/>
      <c r="F533" s="19"/>
      <c r="G533" s="19"/>
      <c r="H533" s="19"/>
      <c r="I533" s="19" t="s">
        <v>1582</v>
      </c>
      <c r="J533" s="22">
        <f t="shared" si="43"/>
        <v>4.4000000000000004</v>
      </c>
      <c r="K533" s="22" t="s">
        <v>986</v>
      </c>
      <c r="L533" s="22">
        <v>4.2</v>
      </c>
      <c r="M533" s="22" t="s">
        <v>986</v>
      </c>
      <c r="N533" s="22">
        <f>42*0.0044</f>
        <v>0.18480000000000002</v>
      </c>
      <c r="O533" s="22" t="s">
        <v>986</v>
      </c>
      <c r="P533" s="19" t="s">
        <v>187</v>
      </c>
      <c r="Q533" s="140"/>
    </row>
    <row r="534" spans="1:17">
      <c r="A534" s="19"/>
      <c r="B534" s="29"/>
      <c r="C534" s="29"/>
      <c r="D534" s="19"/>
      <c r="E534" s="22"/>
      <c r="F534" s="19"/>
      <c r="G534" s="19"/>
      <c r="H534" s="19"/>
      <c r="I534" s="19" t="s">
        <v>1565</v>
      </c>
      <c r="J534" s="22">
        <f t="shared" si="43"/>
        <v>2.1488372093023256</v>
      </c>
      <c r="K534" s="22" t="s">
        <v>986</v>
      </c>
      <c r="L534" s="22">
        <v>4.3</v>
      </c>
      <c r="M534" s="22" t="s">
        <v>986</v>
      </c>
      <c r="N534" s="22">
        <f>42*0.0022</f>
        <v>9.240000000000001E-2</v>
      </c>
      <c r="O534" s="22" t="s">
        <v>986</v>
      </c>
      <c r="P534" s="19" t="s">
        <v>187</v>
      </c>
      <c r="Q534" s="140"/>
    </row>
    <row r="535" spans="1:17">
      <c r="A535" s="19"/>
      <c r="B535" s="29"/>
      <c r="C535" s="29"/>
      <c r="D535" s="19"/>
      <c r="E535" s="22"/>
      <c r="F535" s="19"/>
      <c r="G535" s="19"/>
      <c r="H535" s="19"/>
      <c r="I535" s="19" t="s">
        <v>1473</v>
      </c>
      <c r="J535" s="22">
        <f t="shared" si="43"/>
        <v>2.4888888888888889</v>
      </c>
      <c r="K535" s="22" t="s">
        <v>986</v>
      </c>
      <c r="L535" s="22">
        <v>2.7</v>
      </c>
      <c r="M535" s="22" t="s">
        <v>986</v>
      </c>
      <c r="N535" s="22">
        <f>42*0.0016</f>
        <v>6.720000000000001E-2</v>
      </c>
      <c r="O535" s="22" t="s">
        <v>986</v>
      </c>
      <c r="P535" s="19" t="s">
        <v>187</v>
      </c>
      <c r="Q535" s="140"/>
    </row>
    <row r="536" spans="1:17">
      <c r="A536" s="19"/>
      <c r="B536" s="29"/>
      <c r="C536" s="29"/>
      <c r="D536" s="19"/>
      <c r="E536" s="22"/>
      <c r="F536" s="19"/>
      <c r="G536" s="19"/>
      <c r="H536" s="19"/>
      <c r="I536" s="19" t="s">
        <v>1474</v>
      </c>
      <c r="J536" s="22">
        <f t="shared" si="43"/>
        <v>1.4153424657534248</v>
      </c>
      <c r="K536" s="22" t="s">
        <v>986</v>
      </c>
      <c r="L536" s="22">
        <v>73</v>
      </c>
      <c r="M536" s="22" t="s">
        <v>986</v>
      </c>
      <c r="N536" s="22">
        <f>42*0.0246</f>
        <v>1.0332000000000001</v>
      </c>
      <c r="O536" s="22" t="s">
        <v>986</v>
      </c>
      <c r="P536" s="19" t="s">
        <v>187</v>
      </c>
      <c r="Q536" s="140"/>
    </row>
    <row r="537" spans="1:17">
      <c r="A537" s="19"/>
      <c r="B537" s="29"/>
      <c r="C537" s="29"/>
      <c r="D537" s="19"/>
      <c r="E537" s="22"/>
      <c r="F537" s="19"/>
      <c r="G537" s="19"/>
      <c r="H537" s="19"/>
      <c r="I537" s="19" t="s">
        <v>1355</v>
      </c>
      <c r="J537" s="22">
        <f t="shared" si="43"/>
        <v>1.9556250000000002</v>
      </c>
      <c r="K537" s="22" t="s">
        <v>986</v>
      </c>
      <c r="L537" s="22">
        <v>64</v>
      </c>
      <c r="M537" s="22" t="s">
        <v>986</v>
      </c>
      <c r="N537" s="22">
        <f>42*0.0298</f>
        <v>1.2516</v>
      </c>
      <c r="O537" s="22" t="s">
        <v>986</v>
      </c>
      <c r="P537" s="19" t="s">
        <v>187</v>
      </c>
      <c r="Q537" s="140"/>
    </row>
    <row r="538" spans="1:17">
      <c r="A538" s="19"/>
      <c r="B538" s="29"/>
      <c r="C538" s="29"/>
      <c r="D538" s="19"/>
      <c r="E538" s="22"/>
      <c r="F538" s="19"/>
      <c r="G538" s="19"/>
      <c r="H538" s="19"/>
      <c r="I538" s="19" t="s">
        <v>485</v>
      </c>
      <c r="J538" s="22">
        <f t="shared" si="43"/>
        <v>42</v>
      </c>
      <c r="K538" s="22" t="s">
        <v>986</v>
      </c>
      <c r="L538" s="22">
        <v>20.18</v>
      </c>
      <c r="M538" s="22" t="s">
        <v>986</v>
      </c>
      <c r="N538" s="22">
        <f>42*(20.18/100)</f>
        <v>8.4756</v>
      </c>
      <c r="O538" s="22" t="s">
        <v>986</v>
      </c>
      <c r="P538" s="19" t="s">
        <v>187</v>
      </c>
      <c r="Q538" s="140"/>
    </row>
    <row r="539" spans="1:17">
      <c r="A539" s="19" t="s">
        <v>1487</v>
      </c>
      <c r="B539" s="29" t="s">
        <v>1671</v>
      </c>
      <c r="C539" s="29" t="s">
        <v>1672</v>
      </c>
      <c r="D539" s="19" t="s">
        <v>1488</v>
      </c>
      <c r="E539" s="22">
        <v>2000</v>
      </c>
      <c r="F539" s="19">
        <v>5</v>
      </c>
      <c r="G539" s="19">
        <v>8</v>
      </c>
      <c r="H539" s="19" t="s">
        <v>936</v>
      </c>
      <c r="I539" s="19" t="s">
        <v>1674</v>
      </c>
      <c r="J539" s="22">
        <f t="shared" si="43"/>
        <v>9.8297872340425521</v>
      </c>
      <c r="K539" s="22" t="s">
        <v>986</v>
      </c>
      <c r="L539" s="22">
        <v>14.1</v>
      </c>
      <c r="M539" s="22" t="s">
        <v>986</v>
      </c>
      <c r="N539" s="22">
        <f>30*0.0462</f>
        <v>1.3859999999999999</v>
      </c>
      <c r="O539" s="22" t="s">
        <v>986</v>
      </c>
      <c r="P539" s="19" t="s">
        <v>187</v>
      </c>
      <c r="Q539" s="140"/>
    </row>
    <row r="540" spans="1:17">
      <c r="A540" s="19"/>
      <c r="B540" s="29"/>
      <c r="C540" s="29"/>
      <c r="D540" s="19"/>
      <c r="E540" s="22"/>
      <c r="F540" s="19"/>
      <c r="G540" s="19"/>
      <c r="H540" s="19"/>
      <c r="I540" s="19" t="s">
        <v>1675</v>
      </c>
      <c r="J540" s="22">
        <f t="shared" si="43"/>
        <v>5.7876106194690271</v>
      </c>
      <c r="K540" s="22" t="s">
        <v>986</v>
      </c>
      <c r="L540" s="22">
        <v>11.3</v>
      </c>
      <c r="M540" s="22" t="s">
        <v>986</v>
      </c>
      <c r="N540" s="22">
        <f>0.0218*30</f>
        <v>0.65400000000000003</v>
      </c>
      <c r="O540" s="22" t="s">
        <v>986</v>
      </c>
      <c r="P540" s="19" t="s">
        <v>187</v>
      </c>
      <c r="Q540" s="140"/>
    </row>
    <row r="541" spans="1:17">
      <c r="A541" s="19"/>
      <c r="B541" s="29"/>
      <c r="C541" s="29"/>
      <c r="D541" s="19"/>
      <c r="E541" s="22"/>
      <c r="F541" s="19"/>
      <c r="G541" s="19"/>
      <c r="H541" s="19"/>
      <c r="I541" s="19" t="s">
        <v>1582</v>
      </c>
      <c r="J541" s="22">
        <f t="shared" si="43"/>
        <v>3.1851851851851851</v>
      </c>
      <c r="K541" s="22" t="s">
        <v>986</v>
      </c>
      <c r="L541" s="22">
        <v>8.1</v>
      </c>
      <c r="M541" s="22" t="s">
        <v>986</v>
      </c>
      <c r="N541" s="22">
        <f>30*0.0086</f>
        <v>0.25800000000000001</v>
      </c>
      <c r="O541" s="22" t="s">
        <v>986</v>
      </c>
      <c r="P541" s="19" t="s">
        <v>187</v>
      </c>
      <c r="Q541" s="140"/>
    </row>
    <row r="542" spans="1:17">
      <c r="A542" s="19"/>
      <c r="B542" s="29"/>
      <c r="C542" s="29"/>
      <c r="D542" s="19"/>
      <c r="E542" s="22"/>
      <c r="F542" s="19"/>
      <c r="G542" s="19"/>
      <c r="H542" s="19"/>
      <c r="I542" s="19" t="s">
        <v>1565</v>
      </c>
      <c r="J542" s="22">
        <f t="shared" si="43"/>
        <v>3.4285714285714279</v>
      </c>
      <c r="K542" s="22" t="s">
        <v>986</v>
      </c>
      <c r="L542" s="22">
        <v>4.2</v>
      </c>
      <c r="M542" s="22" t="s">
        <v>986</v>
      </c>
      <c r="N542" s="22">
        <f>30*0.0048</f>
        <v>0.14399999999999999</v>
      </c>
      <c r="O542" s="22" t="s">
        <v>986</v>
      </c>
      <c r="P542" s="19" t="s">
        <v>187</v>
      </c>
      <c r="Q542" s="140"/>
    </row>
    <row r="543" spans="1:17">
      <c r="A543" s="19"/>
      <c r="B543" s="29"/>
      <c r="C543" s="29"/>
      <c r="D543" s="19"/>
      <c r="E543" s="22"/>
      <c r="F543" s="19"/>
      <c r="G543" s="19"/>
      <c r="H543" s="19"/>
      <c r="I543" s="19" t="s">
        <v>1473</v>
      </c>
      <c r="J543" s="22">
        <f t="shared" si="43"/>
        <v>4.2692307692307692</v>
      </c>
      <c r="K543" s="22" t="s">
        <v>986</v>
      </c>
      <c r="L543" s="22">
        <v>2.6</v>
      </c>
      <c r="M543" s="22" t="s">
        <v>986</v>
      </c>
      <c r="N543" s="22">
        <f>30*0.0037</f>
        <v>0.111</v>
      </c>
      <c r="O543" s="22" t="s">
        <v>986</v>
      </c>
      <c r="P543" s="19" t="s">
        <v>187</v>
      </c>
      <c r="Q543" s="140"/>
    </row>
    <row r="544" spans="1:17">
      <c r="A544" s="19"/>
      <c r="B544" s="29"/>
      <c r="C544" s="29"/>
      <c r="D544" s="19"/>
      <c r="E544" s="22"/>
      <c r="F544" s="19"/>
      <c r="G544" s="19"/>
      <c r="H544" s="19"/>
      <c r="I544" s="19" t="s">
        <v>1489</v>
      </c>
      <c r="J544" s="22">
        <f t="shared" si="43"/>
        <v>1.6935483870967745</v>
      </c>
      <c r="K544" s="22" t="s">
        <v>986</v>
      </c>
      <c r="L544" s="22">
        <v>62</v>
      </c>
      <c r="M544" s="22" t="s">
        <v>986</v>
      </c>
      <c r="N544" s="22">
        <f>30*0.035</f>
        <v>1.05</v>
      </c>
      <c r="O544" s="22" t="s">
        <v>986</v>
      </c>
      <c r="P544" s="19" t="s">
        <v>187</v>
      </c>
      <c r="Q544" s="140"/>
    </row>
    <row r="545" spans="1:17">
      <c r="A545" s="19"/>
      <c r="B545" s="29"/>
      <c r="C545" s="29"/>
      <c r="D545" s="19"/>
      <c r="E545" s="22"/>
      <c r="F545" s="19"/>
      <c r="G545" s="19"/>
      <c r="H545" s="19"/>
      <c r="I545" s="19" t="s">
        <v>1355</v>
      </c>
      <c r="J545" s="22">
        <f t="shared" si="43"/>
        <v>2.2722222222222221</v>
      </c>
      <c r="K545" s="22" t="s">
        <v>986</v>
      </c>
      <c r="L545" s="22">
        <v>54</v>
      </c>
      <c r="M545" s="22" t="s">
        <v>986</v>
      </c>
      <c r="N545" s="22">
        <f>30*0.0409</f>
        <v>1.2269999999999999</v>
      </c>
      <c r="O545" s="22" t="s">
        <v>986</v>
      </c>
      <c r="P545" s="19" t="s">
        <v>187</v>
      </c>
      <c r="Q545" s="140"/>
    </row>
    <row r="546" spans="1:17">
      <c r="A546" s="19"/>
      <c r="B546" s="29"/>
      <c r="C546" s="29"/>
      <c r="D546" s="19"/>
      <c r="E546" s="22"/>
      <c r="F546" s="19"/>
      <c r="G546" s="19"/>
      <c r="H546" s="19"/>
      <c r="I546" s="19" t="s">
        <v>485</v>
      </c>
      <c r="J546" s="22">
        <f t="shared" si="43"/>
        <v>30</v>
      </c>
      <c r="K546" s="22" t="s">
        <v>986</v>
      </c>
      <c r="L546" s="22">
        <v>16.100000000000001</v>
      </c>
      <c r="M546" s="22" t="s">
        <v>986</v>
      </c>
      <c r="N546" s="22">
        <f>30*(16.1/100)</f>
        <v>4.83</v>
      </c>
      <c r="O546" s="22" t="s">
        <v>986</v>
      </c>
      <c r="P546" s="19" t="s">
        <v>187</v>
      </c>
      <c r="Q546" s="140"/>
    </row>
    <row r="547" spans="1:17">
      <c r="A547" s="19" t="s">
        <v>1487</v>
      </c>
      <c r="B547" s="29" t="s">
        <v>1671</v>
      </c>
      <c r="C547" s="29" t="s">
        <v>1672</v>
      </c>
      <c r="D547" s="19" t="s">
        <v>1488</v>
      </c>
      <c r="E547" s="22">
        <v>2000</v>
      </c>
      <c r="F547" s="19">
        <v>5</v>
      </c>
      <c r="G547" s="19">
        <v>10</v>
      </c>
      <c r="H547" s="19" t="s">
        <v>936</v>
      </c>
      <c r="I547" s="19" t="s">
        <v>1490</v>
      </c>
      <c r="J547" s="22">
        <f t="shared" si="43"/>
        <v>7.6458015267175581</v>
      </c>
      <c r="K547" s="22" t="s">
        <v>986</v>
      </c>
      <c r="L547" s="22">
        <v>26.2</v>
      </c>
      <c r="M547" s="22" t="s">
        <v>986</v>
      </c>
      <c r="N547" s="22">
        <f>32*0.0626</f>
        <v>2.0032000000000001</v>
      </c>
      <c r="O547" s="22" t="s">
        <v>986</v>
      </c>
      <c r="P547" s="19" t="s">
        <v>187</v>
      </c>
      <c r="Q547" s="140"/>
    </row>
    <row r="548" spans="1:17">
      <c r="A548" s="19"/>
      <c r="B548" s="29"/>
      <c r="C548" s="29"/>
      <c r="D548" s="19"/>
      <c r="E548" s="22"/>
      <c r="F548" s="19"/>
      <c r="G548" s="19"/>
      <c r="H548" s="19"/>
      <c r="I548" s="19" t="s">
        <v>1675</v>
      </c>
      <c r="J548" s="22">
        <f t="shared" si="43"/>
        <v>11.875144508670518</v>
      </c>
      <c r="K548" s="22" t="s">
        <v>986</v>
      </c>
      <c r="L548" s="22">
        <v>17.3</v>
      </c>
      <c r="M548" s="22" t="s">
        <v>986</v>
      </c>
      <c r="N548" s="22">
        <f>32*0.0642</f>
        <v>2.0543999999999998</v>
      </c>
      <c r="O548" s="22" t="s">
        <v>986</v>
      </c>
      <c r="P548" s="19" t="s">
        <v>187</v>
      </c>
      <c r="Q548" s="140"/>
    </row>
    <row r="549" spans="1:17">
      <c r="A549" s="19"/>
      <c r="B549" s="29"/>
      <c r="C549" s="29"/>
      <c r="D549" s="19"/>
      <c r="E549" s="22"/>
      <c r="F549" s="19"/>
      <c r="G549" s="19"/>
      <c r="H549" s="19"/>
      <c r="I549" s="19" t="s">
        <v>1582</v>
      </c>
      <c r="J549" s="22">
        <f t="shared" si="43"/>
        <v>2.6599999999999997</v>
      </c>
      <c r="K549" s="22" t="s">
        <v>986</v>
      </c>
      <c r="L549" s="22">
        <v>16</v>
      </c>
      <c r="M549" s="22" t="s">
        <v>986</v>
      </c>
      <c r="N549" s="22">
        <f>32*0.0133</f>
        <v>0.42559999999999998</v>
      </c>
      <c r="O549" s="22" t="s">
        <v>986</v>
      </c>
      <c r="P549" s="19" t="s">
        <v>187</v>
      </c>
      <c r="Q549" s="140"/>
    </row>
    <row r="550" spans="1:17">
      <c r="A550" s="19"/>
      <c r="B550" s="29"/>
      <c r="C550" s="29"/>
      <c r="D550" s="19"/>
      <c r="E550" s="22"/>
      <c r="F550" s="19"/>
      <c r="G550" s="19"/>
      <c r="H550" s="19"/>
      <c r="I550" s="19" t="s">
        <v>1565</v>
      </c>
      <c r="J550" s="22">
        <f t="shared" si="43"/>
        <v>14.371428571428572</v>
      </c>
      <c r="K550" s="22" t="s">
        <v>986</v>
      </c>
      <c r="L550" s="22">
        <v>11.2</v>
      </c>
      <c r="M550" s="22" t="s">
        <v>986</v>
      </c>
      <c r="N550" s="22">
        <f>32*0.0503</f>
        <v>1.6095999999999999</v>
      </c>
      <c r="O550" s="22" t="s">
        <v>986</v>
      </c>
      <c r="P550" s="19" t="s">
        <v>187</v>
      </c>
      <c r="Q550" s="140"/>
    </row>
    <row r="551" spans="1:17">
      <c r="A551" s="19"/>
      <c r="B551" s="29"/>
      <c r="C551" s="29"/>
      <c r="D551" s="19"/>
      <c r="E551" s="22"/>
      <c r="F551" s="19"/>
      <c r="G551" s="19"/>
      <c r="H551" s="19"/>
      <c r="I551" s="19" t="s">
        <v>1473</v>
      </c>
      <c r="J551" s="22">
        <f t="shared" si="43"/>
        <v>2.8903225806451611</v>
      </c>
      <c r="K551" s="22" t="s">
        <v>986</v>
      </c>
      <c r="L551" s="22">
        <v>3.1</v>
      </c>
      <c r="M551" s="22" t="s">
        <v>986</v>
      </c>
      <c r="N551" s="22">
        <f>32*0.0028</f>
        <v>8.9599999999999999E-2</v>
      </c>
      <c r="O551" s="22" t="s">
        <v>986</v>
      </c>
      <c r="P551" s="19" t="s">
        <v>187</v>
      </c>
      <c r="Q551" s="140"/>
    </row>
    <row r="552" spans="1:17">
      <c r="A552" s="19"/>
      <c r="B552" s="29"/>
      <c r="C552" s="29"/>
      <c r="D552" s="19"/>
      <c r="E552" s="22"/>
      <c r="F552" s="19"/>
      <c r="G552" s="19"/>
      <c r="H552" s="19"/>
      <c r="I552" s="19" t="s">
        <v>1474</v>
      </c>
      <c r="J552" s="22">
        <f t="shared" si="43"/>
        <v>1.7474157303370783</v>
      </c>
      <c r="K552" s="22" t="s">
        <v>986</v>
      </c>
      <c r="L552" s="22">
        <v>89</v>
      </c>
      <c r="M552" s="22" t="s">
        <v>986</v>
      </c>
      <c r="N552" s="22">
        <f>32*0.0486</f>
        <v>1.5551999999999999</v>
      </c>
      <c r="O552" s="22" t="s">
        <v>986</v>
      </c>
      <c r="P552" s="19" t="s">
        <v>187</v>
      </c>
      <c r="Q552" s="140"/>
    </row>
    <row r="553" spans="1:17">
      <c r="A553" s="19"/>
      <c r="B553" s="29"/>
      <c r="C553" s="29"/>
      <c r="D553" s="19"/>
      <c r="E553" s="22"/>
      <c r="F553" s="19"/>
      <c r="G553" s="19"/>
      <c r="H553" s="19"/>
      <c r="I553" s="19" t="s">
        <v>1355</v>
      </c>
      <c r="J553" s="22">
        <f t="shared" si="43"/>
        <v>2.2323809523809524</v>
      </c>
      <c r="K553" s="22" t="s">
        <v>986</v>
      </c>
      <c r="L553" s="22">
        <v>84</v>
      </c>
      <c r="M553" s="22" t="s">
        <v>986</v>
      </c>
      <c r="N553" s="22">
        <f>32*0.0586</f>
        <v>1.8752</v>
      </c>
      <c r="O553" s="22" t="s">
        <v>986</v>
      </c>
      <c r="P553" s="19" t="s">
        <v>187</v>
      </c>
      <c r="Q553" s="140"/>
    </row>
    <row r="554" spans="1:17" ht="14" thickBot="1">
      <c r="A554" s="19"/>
      <c r="B554" s="29"/>
      <c r="C554" s="29"/>
      <c r="D554" s="19"/>
      <c r="E554" s="22"/>
      <c r="F554" s="19"/>
      <c r="G554" s="19"/>
      <c r="H554" s="19"/>
      <c r="I554" s="38" t="s">
        <v>485</v>
      </c>
      <c r="J554" s="45">
        <f t="shared" si="43"/>
        <v>32</v>
      </c>
      <c r="K554" s="45" t="s">
        <v>1046</v>
      </c>
      <c r="L554" s="45">
        <v>31.04</v>
      </c>
      <c r="M554" s="45" t="s">
        <v>1046</v>
      </c>
      <c r="N554" s="45">
        <f>32*(31.04/100)</f>
        <v>9.9328000000000003</v>
      </c>
      <c r="O554" s="45" t="s">
        <v>1046</v>
      </c>
      <c r="P554" s="19" t="s">
        <v>187</v>
      </c>
      <c r="Q554" s="140"/>
    </row>
    <row r="555" spans="1:17" s="58" customFormat="1" ht="15">
      <c r="A555" s="3"/>
      <c r="B555" s="5"/>
      <c r="C555" s="5"/>
      <c r="D555" s="3"/>
      <c r="E555" s="74"/>
      <c r="F555" s="3"/>
      <c r="G555" s="3"/>
      <c r="H555" s="3"/>
      <c r="I555" s="47" t="s">
        <v>1674</v>
      </c>
      <c r="J555" s="51">
        <f t="shared" ref="J555:J562" si="44">ROUND(AVERAGE(J531,J539,J547),1)</f>
        <v>9.5</v>
      </c>
      <c r="K555" s="51">
        <f t="shared" ref="K555:K562" si="45">ROUND(STDEV(J531,J539,J547),1)</f>
        <v>1.7</v>
      </c>
      <c r="L555" s="51">
        <f t="shared" ref="L555:L562" si="46">ROUND(AVERAGE(L531,L539,L547),1)</f>
        <v>22.2</v>
      </c>
      <c r="M555" s="51">
        <f t="shared" ref="M555:M562" si="47">ROUND(STDEV(L531,L539,L547),1)</f>
        <v>7</v>
      </c>
      <c r="N555" s="51">
        <f t="shared" ref="N555:N562" si="48">ROUND(AVERAGE(N531,N539,N547),1)</f>
        <v>2.1</v>
      </c>
      <c r="O555" s="52">
        <f t="shared" ref="O555:O562" si="49">ROUND(STDEV(N531,N539,N547),1)</f>
        <v>0.7</v>
      </c>
      <c r="P555" s="3"/>
      <c r="Q555" s="3"/>
    </row>
    <row r="556" spans="1:17" s="58" customFormat="1" ht="15">
      <c r="A556" s="3"/>
      <c r="B556" s="5"/>
      <c r="C556" s="5"/>
      <c r="D556" s="3"/>
      <c r="E556" s="74"/>
      <c r="F556" s="3"/>
      <c r="G556" s="3"/>
      <c r="H556" s="3"/>
      <c r="I556" s="48" t="s">
        <v>1491</v>
      </c>
      <c r="J556" s="53">
        <f t="shared" si="44"/>
        <v>12</v>
      </c>
      <c r="K556" s="53">
        <f t="shared" si="45"/>
        <v>6.2</v>
      </c>
      <c r="L556" s="53">
        <f t="shared" si="46"/>
        <v>15</v>
      </c>
      <c r="M556" s="53">
        <f t="shared" si="47"/>
        <v>3.2</v>
      </c>
      <c r="N556" s="53">
        <f t="shared" si="48"/>
        <v>1.9</v>
      </c>
      <c r="O556" s="54">
        <f t="shared" si="49"/>
        <v>1.2</v>
      </c>
      <c r="P556" s="3"/>
      <c r="Q556" s="3"/>
    </row>
    <row r="557" spans="1:17" s="58" customFormat="1" ht="15">
      <c r="A557" s="3"/>
      <c r="B557" s="5"/>
      <c r="C557" s="5"/>
      <c r="D557" s="3"/>
      <c r="E557" s="74"/>
      <c r="F557" s="3"/>
      <c r="G557" s="3"/>
      <c r="H557" s="3"/>
      <c r="I557" s="48" t="s">
        <v>1590</v>
      </c>
      <c r="J557" s="53">
        <f t="shared" si="44"/>
        <v>3.4</v>
      </c>
      <c r="K557" s="53">
        <f t="shared" si="45"/>
        <v>0.9</v>
      </c>
      <c r="L557" s="53">
        <f t="shared" si="46"/>
        <v>9.4</v>
      </c>
      <c r="M557" s="53">
        <f t="shared" si="47"/>
        <v>6</v>
      </c>
      <c r="N557" s="53">
        <f t="shared" si="48"/>
        <v>0.3</v>
      </c>
      <c r="O557" s="54">
        <f t="shared" si="49"/>
        <v>0.1</v>
      </c>
      <c r="P557" s="3"/>
      <c r="Q557" s="3"/>
    </row>
    <row r="558" spans="1:17" s="58" customFormat="1" ht="15">
      <c r="A558" s="3"/>
      <c r="B558" s="5"/>
      <c r="C558" s="5"/>
      <c r="D558" s="3"/>
      <c r="E558" s="74"/>
      <c r="F558" s="3"/>
      <c r="G558" s="3"/>
      <c r="H558" s="3"/>
      <c r="I558" s="48" t="s">
        <v>1772</v>
      </c>
      <c r="J558" s="53">
        <f t="shared" si="44"/>
        <v>6.6</v>
      </c>
      <c r="K558" s="53">
        <f t="shared" si="45"/>
        <v>6.7</v>
      </c>
      <c r="L558" s="53">
        <f t="shared" si="46"/>
        <v>6.6</v>
      </c>
      <c r="M558" s="53">
        <f t="shared" si="47"/>
        <v>4</v>
      </c>
      <c r="N558" s="53">
        <f t="shared" si="48"/>
        <v>0.6</v>
      </c>
      <c r="O558" s="54">
        <f t="shared" si="49"/>
        <v>0.9</v>
      </c>
      <c r="P558" s="3"/>
      <c r="Q558" s="3"/>
    </row>
    <row r="559" spans="1:17" s="58" customFormat="1" ht="15">
      <c r="A559" s="3"/>
      <c r="B559" s="5"/>
      <c r="C559" s="5"/>
      <c r="D559" s="3"/>
      <c r="E559" s="74"/>
      <c r="F559" s="3"/>
      <c r="G559" s="3"/>
      <c r="H559" s="3"/>
      <c r="I559" s="48" t="s">
        <v>1773</v>
      </c>
      <c r="J559" s="53">
        <f t="shared" si="44"/>
        <v>3.2</v>
      </c>
      <c r="K559" s="53">
        <f t="shared" si="45"/>
        <v>0.9</v>
      </c>
      <c r="L559" s="53">
        <f t="shared" si="46"/>
        <v>2.8</v>
      </c>
      <c r="M559" s="53">
        <f t="shared" si="47"/>
        <v>0.3</v>
      </c>
      <c r="N559" s="53">
        <f t="shared" si="48"/>
        <v>0.1</v>
      </c>
      <c r="O559" s="54">
        <f t="shared" si="49"/>
        <v>0</v>
      </c>
      <c r="P559" s="3"/>
      <c r="Q559" s="3"/>
    </row>
    <row r="560" spans="1:17" s="58" customFormat="1" ht="15">
      <c r="A560" s="3"/>
      <c r="B560" s="5"/>
      <c r="C560" s="5"/>
      <c r="D560" s="3"/>
      <c r="E560" s="74"/>
      <c r="F560" s="3"/>
      <c r="G560" s="3"/>
      <c r="H560" s="3"/>
      <c r="I560" s="48" t="s">
        <v>1583</v>
      </c>
      <c r="J560" s="53">
        <f t="shared" si="44"/>
        <v>1.6</v>
      </c>
      <c r="K560" s="53">
        <f t="shared" si="45"/>
        <v>0.2</v>
      </c>
      <c r="L560" s="53">
        <f t="shared" si="46"/>
        <v>74.7</v>
      </c>
      <c r="M560" s="53">
        <f t="shared" si="47"/>
        <v>13.6</v>
      </c>
      <c r="N560" s="53">
        <f t="shared" si="48"/>
        <v>1.2</v>
      </c>
      <c r="O560" s="54">
        <f t="shared" si="49"/>
        <v>0.3</v>
      </c>
      <c r="P560" s="3"/>
      <c r="Q560" s="3"/>
    </row>
    <row r="561" spans="1:17" s="58" customFormat="1" ht="15">
      <c r="A561" s="3"/>
      <c r="B561" s="5"/>
      <c r="C561" s="5"/>
      <c r="D561" s="3"/>
      <c r="E561" s="74"/>
      <c r="F561" s="3"/>
      <c r="G561" s="3"/>
      <c r="H561" s="3"/>
      <c r="I561" s="48" t="s">
        <v>1776</v>
      </c>
      <c r="J561" s="53">
        <f t="shared" si="44"/>
        <v>2.2000000000000002</v>
      </c>
      <c r="K561" s="53">
        <f t="shared" si="45"/>
        <v>0.2</v>
      </c>
      <c r="L561" s="53">
        <f t="shared" si="46"/>
        <v>67.3</v>
      </c>
      <c r="M561" s="53">
        <f t="shared" si="47"/>
        <v>15.3</v>
      </c>
      <c r="N561" s="53">
        <f t="shared" si="48"/>
        <v>1.5</v>
      </c>
      <c r="O561" s="54">
        <f t="shared" si="49"/>
        <v>0.4</v>
      </c>
      <c r="P561" s="3"/>
      <c r="Q561" s="3"/>
    </row>
    <row r="562" spans="1:17" s="58" customFormat="1" ht="16" thickBot="1">
      <c r="A562" s="3"/>
      <c r="B562" s="5"/>
      <c r="C562" s="5"/>
      <c r="D562" s="3"/>
      <c r="E562" s="74"/>
      <c r="F562" s="3"/>
      <c r="G562" s="3"/>
      <c r="H562" s="3"/>
      <c r="I562" s="49" t="s">
        <v>556</v>
      </c>
      <c r="J562" s="55">
        <f t="shared" si="44"/>
        <v>34.700000000000003</v>
      </c>
      <c r="K562" s="55">
        <f t="shared" si="45"/>
        <v>6.4</v>
      </c>
      <c r="L562" s="55">
        <f t="shared" si="46"/>
        <v>22.4</v>
      </c>
      <c r="M562" s="55">
        <f t="shared" si="47"/>
        <v>7.7</v>
      </c>
      <c r="N562" s="55">
        <f t="shared" si="48"/>
        <v>7.7</v>
      </c>
      <c r="O562" s="56">
        <f t="shared" si="49"/>
        <v>2.6</v>
      </c>
      <c r="P562" s="3"/>
      <c r="Q562" s="3"/>
    </row>
    <row r="563" spans="1:17" s="58" customFormat="1" ht="15">
      <c r="A563" s="3"/>
      <c r="B563" s="5"/>
      <c r="C563" s="5"/>
      <c r="D563" s="3"/>
      <c r="E563" s="74"/>
      <c r="F563" s="3"/>
      <c r="G563" s="3"/>
      <c r="H563" s="3"/>
      <c r="I563" s="276"/>
      <c r="J563" s="277"/>
      <c r="K563" s="277"/>
      <c r="L563" s="277"/>
      <c r="M563" s="277"/>
      <c r="N563" s="277"/>
      <c r="O563" s="278"/>
      <c r="P563" s="3"/>
      <c r="Q563" s="3"/>
    </row>
    <row r="564" spans="1:17">
      <c r="A564" s="296"/>
      <c r="B564" s="296"/>
      <c r="C564" s="296"/>
      <c r="D564" s="296"/>
      <c r="E564" s="301"/>
      <c r="F564" s="296"/>
      <c r="G564" s="296"/>
      <c r="H564" s="296"/>
      <c r="I564" s="296"/>
      <c r="J564" s="301"/>
      <c r="K564" s="301"/>
      <c r="L564" s="301"/>
      <c r="M564" s="301"/>
      <c r="N564" s="301"/>
      <c r="O564" s="301"/>
      <c r="P564" s="296"/>
    </row>
    <row r="567" spans="1:17" s="58" customFormat="1">
      <c r="E567" s="279"/>
      <c r="J567" s="279"/>
      <c r="K567" s="279"/>
      <c r="L567" s="279"/>
      <c r="M567" s="279"/>
      <c r="N567" s="279"/>
      <c r="O567" s="279"/>
    </row>
    <row r="568" spans="1:17" s="58" customFormat="1">
      <c r="A568" s="321"/>
      <c r="B568" s="321"/>
      <c r="C568" s="321"/>
      <c r="D568" s="321"/>
      <c r="E568" s="317"/>
      <c r="F568" s="321"/>
      <c r="G568" s="321"/>
      <c r="H568" s="321"/>
      <c r="I568" s="321"/>
      <c r="J568" s="317"/>
      <c r="K568" s="317"/>
      <c r="L568" s="317"/>
      <c r="M568" s="317"/>
      <c r="N568" s="317"/>
      <c r="O568" s="317"/>
      <c r="P568" s="321"/>
    </row>
    <row r="569" spans="1:17" ht="14" thickBot="1">
      <c r="A569" s="149"/>
      <c r="B569" s="147"/>
      <c r="C569" s="147"/>
      <c r="D569" s="1"/>
      <c r="E569" s="147"/>
      <c r="F569" s="147"/>
      <c r="G569" s="147"/>
      <c r="H569" s="3"/>
      <c r="J569" s="203"/>
      <c r="K569" s="74"/>
      <c r="L569" s="147"/>
      <c r="M569" s="74"/>
      <c r="N569" s="147"/>
      <c r="O569" s="74"/>
      <c r="P569" s="1"/>
    </row>
    <row r="570" spans="1:17" ht="15">
      <c r="A570" s="172" t="s">
        <v>680</v>
      </c>
      <c r="B570" s="173" t="s">
        <v>451</v>
      </c>
      <c r="C570" s="173" t="s">
        <v>670</v>
      </c>
      <c r="D570" s="172" t="s">
        <v>231</v>
      </c>
      <c r="E570" s="173">
        <v>1992</v>
      </c>
      <c r="F570" s="173">
        <v>7</v>
      </c>
      <c r="G570" s="173">
        <v>15</v>
      </c>
      <c r="H570" s="213" t="s">
        <v>1766</v>
      </c>
      <c r="I570" s="216" t="s">
        <v>1682</v>
      </c>
      <c r="J570" s="217">
        <v>2.77</v>
      </c>
      <c r="K570" s="217" t="s">
        <v>1682</v>
      </c>
      <c r="L570" s="217" t="s">
        <v>1682</v>
      </c>
      <c r="M570" s="217" t="s">
        <v>1682</v>
      </c>
      <c r="N570" s="217" t="s">
        <v>1682</v>
      </c>
      <c r="O570" s="218" t="s">
        <v>1682</v>
      </c>
      <c r="P570" s="215" t="s">
        <v>295</v>
      </c>
    </row>
    <row r="571" spans="1:17" ht="15">
      <c r="A571" s="173"/>
      <c r="B571" s="173" t="s">
        <v>574</v>
      </c>
      <c r="C571" s="173" t="s">
        <v>677</v>
      </c>
      <c r="D571" s="172" t="s">
        <v>232</v>
      </c>
      <c r="E571" s="173">
        <v>1994</v>
      </c>
      <c r="F571" s="173">
        <v>7</v>
      </c>
      <c r="G571" s="173">
        <v>11</v>
      </c>
      <c r="H571" s="213" t="s">
        <v>1766</v>
      </c>
      <c r="I571" s="219" t="s">
        <v>1682</v>
      </c>
      <c r="J571" s="179">
        <v>3.27</v>
      </c>
      <c r="K571" s="179" t="s">
        <v>1682</v>
      </c>
      <c r="L571" s="179" t="s">
        <v>1682</v>
      </c>
      <c r="M571" s="179" t="s">
        <v>1682</v>
      </c>
      <c r="N571" s="179" t="s">
        <v>1682</v>
      </c>
      <c r="O571" s="220" t="s">
        <v>1682</v>
      </c>
      <c r="P571" s="215" t="s">
        <v>295</v>
      </c>
    </row>
    <row r="572" spans="1:17" ht="15">
      <c r="A572" s="173"/>
      <c r="B572" s="173" t="s">
        <v>681</v>
      </c>
      <c r="C572" s="173" t="s">
        <v>452</v>
      </c>
      <c r="D572" s="172" t="s">
        <v>358</v>
      </c>
      <c r="E572" s="173">
        <v>1992</v>
      </c>
      <c r="F572" s="173">
        <v>7</v>
      </c>
      <c r="G572" s="173">
        <v>15</v>
      </c>
      <c r="H572" s="213" t="s">
        <v>1766</v>
      </c>
      <c r="I572" s="219" t="s">
        <v>1682</v>
      </c>
      <c r="J572" s="179">
        <v>6.45</v>
      </c>
      <c r="K572" s="179" t="s">
        <v>1682</v>
      </c>
      <c r="L572" s="179" t="s">
        <v>1682</v>
      </c>
      <c r="M572" s="179" t="s">
        <v>1682</v>
      </c>
      <c r="N572" s="179" t="s">
        <v>1682</v>
      </c>
      <c r="O572" s="220" t="s">
        <v>1682</v>
      </c>
      <c r="P572" s="215" t="s">
        <v>295</v>
      </c>
    </row>
    <row r="573" spans="1:17" ht="15">
      <c r="A573" s="173"/>
      <c r="B573" s="173" t="s">
        <v>453</v>
      </c>
      <c r="C573" s="173" t="s">
        <v>454</v>
      </c>
      <c r="D573" s="172" t="s">
        <v>607</v>
      </c>
      <c r="E573" s="173">
        <v>1992</v>
      </c>
      <c r="F573" s="173">
        <v>7</v>
      </c>
      <c r="G573" s="173">
        <v>15</v>
      </c>
      <c r="H573" s="213" t="s">
        <v>1766</v>
      </c>
      <c r="I573" s="219" t="s">
        <v>1682</v>
      </c>
      <c r="J573" s="179">
        <v>4.07</v>
      </c>
      <c r="K573" s="179" t="s">
        <v>1682</v>
      </c>
      <c r="L573" s="179" t="s">
        <v>1682</v>
      </c>
      <c r="M573" s="179" t="s">
        <v>1682</v>
      </c>
      <c r="N573" s="179" t="s">
        <v>1682</v>
      </c>
      <c r="O573" s="220" t="s">
        <v>1682</v>
      </c>
      <c r="P573" s="215" t="s">
        <v>295</v>
      </c>
    </row>
    <row r="574" spans="1:17" ht="15">
      <c r="A574" s="173"/>
      <c r="B574" s="173" t="s">
        <v>352</v>
      </c>
      <c r="C574" s="173" t="s">
        <v>353</v>
      </c>
      <c r="D574" s="172" t="s">
        <v>361</v>
      </c>
      <c r="E574" s="173">
        <v>1992</v>
      </c>
      <c r="F574" s="173">
        <v>7</v>
      </c>
      <c r="G574" s="173">
        <v>15</v>
      </c>
      <c r="H574" s="213" t="s">
        <v>1766</v>
      </c>
      <c r="I574" s="219" t="s">
        <v>1682</v>
      </c>
      <c r="J574" s="179">
        <v>2.165</v>
      </c>
      <c r="K574" s="179" t="s">
        <v>1682</v>
      </c>
      <c r="L574" s="179" t="s">
        <v>1682</v>
      </c>
      <c r="M574" s="179" t="s">
        <v>1682</v>
      </c>
      <c r="N574" s="179" t="s">
        <v>1682</v>
      </c>
      <c r="O574" s="220" t="s">
        <v>1682</v>
      </c>
      <c r="P574" s="215" t="s">
        <v>295</v>
      </c>
    </row>
    <row r="575" spans="1:17" ht="15">
      <c r="A575" s="205"/>
      <c r="B575" s="173" t="s">
        <v>354</v>
      </c>
      <c r="C575" s="173" t="s">
        <v>481</v>
      </c>
      <c r="D575" s="172" t="s">
        <v>609</v>
      </c>
      <c r="E575" s="173">
        <v>1996</v>
      </c>
      <c r="F575" s="173">
        <v>9</v>
      </c>
      <c r="G575" s="173">
        <v>1</v>
      </c>
      <c r="H575" s="214" t="s">
        <v>1766</v>
      </c>
      <c r="I575" s="219" t="s">
        <v>1682</v>
      </c>
      <c r="J575" s="179">
        <v>3.04</v>
      </c>
      <c r="K575" s="179" t="s">
        <v>1682</v>
      </c>
      <c r="L575" s="179" t="s">
        <v>1682</v>
      </c>
      <c r="M575" s="179" t="s">
        <v>1682</v>
      </c>
      <c r="N575" s="179" t="s">
        <v>1682</v>
      </c>
      <c r="O575" s="220" t="s">
        <v>1682</v>
      </c>
      <c r="P575" s="215" t="s">
        <v>296</v>
      </c>
    </row>
    <row r="576" spans="1:17" ht="15">
      <c r="A576" s="173"/>
      <c r="B576" s="173" t="s">
        <v>354</v>
      </c>
      <c r="C576" s="173" t="s">
        <v>482</v>
      </c>
      <c r="D576" s="172" t="s">
        <v>363</v>
      </c>
      <c r="E576" s="173">
        <v>1996</v>
      </c>
      <c r="F576" s="173">
        <v>9</v>
      </c>
      <c r="G576" s="173">
        <v>1</v>
      </c>
      <c r="H576" s="213" t="s">
        <v>1766</v>
      </c>
      <c r="I576" s="219" t="s">
        <v>1682</v>
      </c>
      <c r="J576" s="179">
        <v>6.13</v>
      </c>
      <c r="K576" s="179" t="s">
        <v>1682</v>
      </c>
      <c r="L576" s="179" t="s">
        <v>1682</v>
      </c>
      <c r="M576" s="179" t="s">
        <v>1682</v>
      </c>
      <c r="N576" s="179" t="s">
        <v>1682</v>
      </c>
      <c r="O576" s="220" t="s">
        <v>1682</v>
      </c>
      <c r="P576" s="215" t="s">
        <v>296</v>
      </c>
    </row>
    <row r="577" spans="1:16" ht="15">
      <c r="A577" s="173"/>
      <c r="B577" s="173" t="s">
        <v>483</v>
      </c>
      <c r="C577" s="173" t="s">
        <v>484</v>
      </c>
      <c r="D577" s="172" t="s">
        <v>364</v>
      </c>
      <c r="E577" s="173">
        <v>1996</v>
      </c>
      <c r="F577" s="173">
        <v>9</v>
      </c>
      <c r="G577" s="173">
        <v>1</v>
      </c>
      <c r="H577" s="213" t="s">
        <v>1766</v>
      </c>
      <c r="I577" s="219" t="s">
        <v>1682</v>
      </c>
      <c r="J577" s="179">
        <v>2.95</v>
      </c>
      <c r="K577" s="179" t="s">
        <v>1682</v>
      </c>
      <c r="L577" s="179" t="s">
        <v>1682</v>
      </c>
      <c r="M577" s="179" t="s">
        <v>1682</v>
      </c>
      <c r="N577" s="179" t="s">
        <v>1682</v>
      </c>
      <c r="O577" s="220" t="s">
        <v>1682</v>
      </c>
      <c r="P577" s="215" t="s">
        <v>296</v>
      </c>
    </row>
    <row r="578" spans="1:16" ht="15">
      <c r="A578" s="173"/>
      <c r="B578" s="173" t="s">
        <v>811</v>
      </c>
      <c r="C578" s="173" t="s">
        <v>678</v>
      </c>
      <c r="D578" s="172" t="s">
        <v>365</v>
      </c>
      <c r="E578" s="173">
        <v>1996</v>
      </c>
      <c r="F578" s="173">
        <v>9</v>
      </c>
      <c r="G578" s="173">
        <v>1</v>
      </c>
      <c r="H578" s="213" t="s">
        <v>1766</v>
      </c>
      <c r="I578" s="219" t="s">
        <v>1682</v>
      </c>
      <c r="J578" s="179">
        <v>6.04</v>
      </c>
      <c r="K578" s="179" t="s">
        <v>1682</v>
      </c>
      <c r="L578" s="179" t="s">
        <v>1682</v>
      </c>
      <c r="M578" s="179" t="s">
        <v>1682</v>
      </c>
      <c r="N578" s="179" t="s">
        <v>1682</v>
      </c>
      <c r="O578" s="220" t="s">
        <v>1682</v>
      </c>
      <c r="P578" s="215" t="s">
        <v>296</v>
      </c>
    </row>
    <row r="579" spans="1:16" ht="15">
      <c r="A579" s="173"/>
      <c r="B579" s="173" t="s">
        <v>483</v>
      </c>
      <c r="C579" s="173" t="s">
        <v>678</v>
      </c>
      <c r="D579" s="172" t="s">
        <v>461</v>
      </c>
      <c r="E579" s="173">
        <v>1996</v>
      </c>
      <c r="F579" s="173">
        <v>9</v>
      </c>
      <c r="G579" s="173">
        <v>1</v>
      </c>
      <c r="H579" s="213" t="s">
        <v>1766</v>
      </c>
      <c r="I579" s="219" t="s">
        <v>1682</v>
      </c>
      <c r="J579" s="179">
        <v>6.47</v>
      </c>
      <c r="K579" s="179" t="s">
        <v>1682</v>
      </c>
      <c r="L579" s="179" t="s">
        <v>1682</v>
      </c>
      <c r="M579" s="179" t="s">
        <v>1682</v>
      </c>
      <c r="N579" s="179" t="s">
        <v>1682</v>
      </c>
      <c r="O579" s="220" t="s">
        <v>1682</v>
      </c>
      <c r="P579" s="215" t="s">
        <v>296</v>
      </c>
    </row>
    <row r="580" spans="1:16" ht="15">
      <c r="A580" s="173"/>
      <c r="B580" s="173" t="s">
        <v>931</v>
      </c>
      <c r="C580" s="173" t="s">
        <v>932</v>
      </c>
      <c r="D580" s="172" t="s">
        <v>462</v>
      </c>
      <c r="E580" s="173">
        <v>1996</v>
      </c>
      <c r="F580" s="173">
        <v>9</v>
      </c>
      <c r="G580" s="173">
        <v>1</v>
      </c>
      <c r="H580" s="213" t="s">
        <v>1766</v>
      </c>
      <c r="I580" s="219" t="s">
        <v>1682</v>
      </c>
      <c r="J580" s="179">
        <v>6.29</v>
      </c>
      <c r="K580" s="179" t="s">
        <v>1682</v>
      </c>
      <c r="L580" s="179" t="s">
        <v>1682</v>
      </c>
      <c r="M580" s="179" t="s">
        <v>1682</v>
      </c>
      <c r="N580" s="179" t="s">
        <v>1682</v>
      </c>
      <c r="O580" s="220" t="s">
        <v>1682</v>
      </c>
      <c r="P580" s="215" t="s">
        <v>297</v>
      </c>
    </row>
    <row r="581" spans="1:16" ht="15">
      <c r="A581" s="173"/>
      <c r="B581" s="173" t="s">
        <v>931</v>
      </c>
      <c r="C581" s="173" t="s">
        <v>819</v>
      </c>
      <c r="D581" s="172" t="s">
        <v>463</v>
      </c>
      <c r="E581" s="173">
        <v>1996</v>
      </c>
      <c r="F581" s="173">
        <v>9</v>
      </c>
      <c r="G581" s="173">
        <v>1</v>
      </c>
      <c r="H581" s="213" t="s">
        <v>1766</v>
      </c>
      <c r="I581" s="219" t="s">
        <v>1682</v>
      </c>
      <c r="J581" s="179">
        <v>5.75</v>
      </c>
      <c r="K581" s="179" t="s">
        <v>1682</v>
      </c>
      <c r="L581" s="179" t="s">
        <v>1682</v>
      </c>
      <c r="M581" s="179" t="s">
        <v>1682</v>
      </c>
      <c r="N581" s="179" t="s">
        <v>1682</v>
      </c>
      <c r="O581" s="220" t="s">
        <v>1682</v>
      </c>
      <c r="P581" s="215" t="s">
        <v>297</v>
      </c>
    </row>
    <row r="582" spans="1:16" ht="15">
      <c r="A582" s="173"/>
      <c r="B582" s="173" t="s">
        <v>820</v>
      </c>
      <c r="C582" s="173" t="s">
        <v>819</v>
      </c>
      <c r="D582" s="172" t="s">
        <v>366</v>
      </c>
      <c r="E582" s="173">
        <v>1996</v>
      </c>
      <c r="F582" s="173">
        <v>9</v>
      </c>
      <c r="G582" s="173">
        <v>1</v>
      </c>
      <c r="H582" s="213" t="s">
        <v>1766</v>
      </c>
      <c r="I582" s="219" t="s">
        <v>1682</v>
      </c>
      <c r="J582" s="179">
        <v>6</v>
      </c>
      <c r="K582" s="179" t="s">
        <v>1682</v>
      </c>
      <c r="L582" s="179" t="s">
        <v>1682</v>
      </c>
      <c r="M582" s="179" t="s">
        <v>1682</v>
      </c>
      <c r="N582" s="179" t="s">
        <v>1682</v>
      </c>
      <c r="O582" s="220" t="s">
        <v>1682</v>
      </c>
      <c r="P582" s="215" t="s">
        <v>297</v>
      </c>
    </row>
    <row r="583" spans="1:16" ht="15">
      <c r="A583" s="173"/>
      <c r="B583" s="173" t="s">
        <v>719</v>
      </c>
      <c r="C583" s="173" t="s">
        <v>819</v>
      </c>
      <c r="D583" s="172" t="s">
        <v>367</v>
      </c>
      <c r="E583" s="173">
        <v>1996</v>
      </c>
      <c r="F583" s="173">
        <v>9</v>
      </c>
      <c r="G583" s="173">
        <v>1</v>
      </c>
      <c r="H583" s="213" t="s">
        <v>1766</v>
      </c>
      <c r="I583" s="219" t="s">
        <v>1682</v>
      </c>
      <c r="J583" s="179">
        <v>7.2</v>
      </c>
      <c r="K583" s="179" t="s">
        <v>1682</v>
      </c>
      <c r="L583" s="179" t="s">
        <v>1682</v>
      </c>
      <c r="M583" s="179" t="s">
        <v>1682</v>
      </c>
      <c r="N583" s="179" t="s">
        <v>1682</v>
      </c>
      <c r="O583" s="220" t="s">
        <v>1682</v>
      </c>
      <c r="P583" s="215" t="s">
        <v>297</v>
      </c>
    </row>
    <row r="584" spans="1:16" ht="15">
      <c r="A584" s="173"/>
      <c r="B584" s="173" t="s">
        <v>719</v>
      </c>
      <c r="C584" s="173" t="s">
        <v>720</v>
      </c>
      <c r="D584" s="172" t="s">
        <v>498</v>
      </c>
      <c r="E584" s="173">
        <v>1996</v>
      </c>
      <c r="F584" s="173">
        <v>9</v>
      </c>
      <c r="G584" s="173">
        <v>1</v>
      </c>
      <c r="H584" s="213" t="s">
        <v>1766</v>
      </c>
      <c r="I584" s="219" t="s">
        <v>1682</v>
      </c>
      <c r="J584" s="179">
        <v>5.61</v>
      </c>
      <c r="K584" s="179" t="s">
        <v>1682</v>
      </c>
      <c r="L584" s="179" t="s">
        <v>1682</v>
      </c>
      <c r="M584" s="179" t="s">
        <v>1682</v>
      </c>
      <c r="N584" s="179" t="s">
        <v>1682</v>
      </c>
      <c r="O584" s="220" t="s">
        <v>1682</v>
      </c>
      <c r="P584" s="215" t="s">
        <v>297</v>
      </c>
    </row>
    <row r="585" spans="1:16" ht="15">
      <c r="A585" s="173"/>
      <c r="B585" s="173" t="s">
        <v>721</v>
      </c>
      <c r="C585" s="173" t="s">
        <v>608</v>
      </c>
      <c r="D585" s="172" t="s">
        <v>379</v>
      </c>
      <c r="E585" s="173">
        <v>1996</v>
      </c>
      <c r="F585" s="173">
        <v>9</v>
      </c>
      <c r="G585" s="173">
        <v>10</v>
      </c>
      <c r="H585" s="213" t="s">
        <v>1766</v>
      </c>
      <c r="I585" s="219" t="s">
        <v>1682</v>
      </c>
      <c r="J585" s="179">
        <v>5.1970000000000001</v>
      </c>
      <c r="K585" s="179" t="s">
        <v>1682</v>
      </c>
      <c r="L585" s="179" t="s">
        <v>1682</v>
      </c>
      <c r="M585" s="179" t="s">
        <v>1682</v>
      </c>
      <c r="N585" s="179" t="s">
        <v>1682</v>
      </c>
      <c r="O585" s="220" t="s">
        <v>1682</v>
      </c>
      <c r="P585" s="215" t="s">
        <v>297</v>
      </c>
    </row>
    <row r="586" spans="1:16" ht="15">
      <c r="A586" s="173"/>
      <c r="B586" s="173" t="s">
        <v>722</v>
      </c>
      <c r="C586" s="173" t="s">
        <v>723</v>
      </c>
      <c r="D586" s="172" t="s">
        <v>380</v>
      </c>
      <c r="E586" s="173">
        <v>1996</v>
      </c>
      <c r="F586" s="173">
        <v>9</v>
      </c>
      <c r="G586" s="173">
        <v>13</v>
      </c>
      <c r="H586" s="213" t="s">
        <v>1766</v>
      </c>
      <c r="I586" s="219" t="s">
        <v>1682</v>
      </c>
      <c r="J586" s="179">
        <v>12.202</v>
      </c>
      <c r="K586" s="179" t="s">
        <v>1682</v>
      </c>
      <c r="L586" s="179" t="s">
        <v>1682</v>
      </c>
      <c r="M586" s="179" t="s">
        <v>1682</v>
      </c>
      <c r="N586" s="179" t="s">
        <v>1682</v>
      </c>
      <c r="O586" s="220" t="s">
        <v>1682</v>
      </c>
      <c r="P586" s="215" t="s">
        <v>297</v>
      </c>
    </row>
    <row r="587" spans="1:16" ht="15">
      <c r="A587" s="173"/>
      <c r="B587" s="173" t="s">
        <v>724</v>
      </c>
      <c r="C587" s="173" t="s">
        <v>725</v>
      </c>
      <c r="D587" s="172" t="s">
        <v>381</v>
      </c>
      <c r="E587" s="173">
        <v>1996</v>
      </c>
      <c r="F587" s="173">
        <v>9</v>
      </c>
      <c r="G587" s="173">
        <v>17</v>
      </c>
      <c r="H587" s="213" t="s">
        <v>1766</v>
      </c>
      <c r="I587" s="219" t="s">
        <v>1682</v>
      </c>
      <c r="J587" s="179">
        <v>9.7439999999999998</v>
      </c>
      <c r="K587" s="179" t="s">
        <v>1682</v>
      </c>
      <c r="L587" s="179" t="s">
        <v>1682</v>
      </c>
      <c r="M587" s="179" t="s">
        <v>1682</v>
      </c>
      <c r="N587" s="179" t="s">
        <v>1682</v>
      </c>
      <c r="O587" s="220" t="s">
        <v>1682</v>
      </c>
      <c r="P587" s="215" t="s">
        <v>297</v>
      </c>
    </row>
    <row r="588" spans="1:16" ht="15">
      <c r="A588" s="173"/>
      <c r="B588" s="173" t="s">
        <v>714</v>
      </c>
      <c r="C588" s="173" t="s">
        <v>715</v>
      </c>
      <c r="D588" s="172" t="s">
        <v>382</v>
      </c>
      <c r="E588" s="173">
        <v>1996</v>
      </c>
      <c r="F588" s="173">
        <v>9</v>
      </c>
      <c r="G588" s="173">
        <v>19</v>
      </c>
      <c r="H588" s="213" t="s">
        <v>1766</v>
      </c>
      <c r="I588" s="219" t="s">
        <v>1682</v>
      </c>
      <c r="J588" s="179">
        <v>13.424000000000001</v>
      </c>
      <c r="K588" s="179" t="s">
        <v>1682</v>
      </c>
      <c r="L588" s="179" t="s">
        <v>1682</v>
      </c>
      <c r="M588" s="179" t="s">
        <v>1682</v>
      </c>
      <c r="N588" s="179" t="s">
        <v>1682</v>
      </c>
      <c r="O588" s="220" t="s">
        <v>1682</v>
      </c>
      <c r="P588" s="215" t="s">
        <v>297</v>
      </c>
    </row>
    <row r="589" spans="1:16" ht="15">
      <c r="A589" s="173"/>
      <c r="B589" s="173" t="s">
        <v>716</v>
      </c>
      <c r="C589" s="173" t="s">
        <v>727</v>
      </c>
      <c r="D589" s="172" t="s">
        <v>383</v>
      </c>
      <c r="E589" s="173">
        <v>1996</v>
      </c>
      <c r="F589" s="173">
        <v>9</v>
      </c>
      <c r="G589" s="173">
        <v>24</v>
      </c>
      <c r="H589" s="213" t="s">
        <v>1766</v>
      </c>
      <c r="I589" s="219" t="s">
        <v>1682</v>
      </c>
      <c r="J589" s="179">
        <v>7.0299999999999985</v>
      </c>
      <c r="K589" s="179" t="s">
        <v>1682</v>
      </c>
      <c r="L589" s="179" t="s">
        <v>1682</v>
      </c>
      <c r="M589" s="179" t="s">
        <v>1682</v>
      </c>
      <c r="N589" s="179" t="s">
        <v>1682</v>
      </c>
      <c r="O589" s="220" t="s">
        <v>1682</v>
      </c>
      <c r="P589" s="215" t="s">
        <v>297</v>
      </c>
    </row>
    <row r="590" spans="1:16" ht="15">
      <c r="A590" s="173"/>
      <c r="B590" s="173" t="s">
        <v>722</v>
      </c>
      <c r="C590" s="173" t="s">
        <v>723</v>
      </c>
      <c r="D590" s="172" t="s">
        <v>380</v>
      </c>
      <c r="E590" s="173">
        <v>1996</v>
      </c>
      <c r="F590" s="173">
        <v>9</v>
      </c>
      <c r="G590" s="173">
        <v>26</v>
      </c>
      <c r="H590" s="213" t="s">
        <v>1766</v>
      </c>
      <c r="I590" s="219" t="s">
        <v>1682</v>
      </c>
      <c r="J590" s="179">
        <v>12.83</v>
      </c>
      <c r="K590" s="179" t="s">
        <v>1682</v>
      </c>
      <c r="L590" s="179" t="s">
        <v>1682</v>
      </c>
      <c r="M590" s="179" t="s">
        <v>1682</v>
      </c>
      <c r="N590" s="179" t="s">
        <v>1682</v>
      </c>
      <c r="O590" s="220" t="s">
        <v>1682</v>
      </c>
      <c r="P590" s="215" t="s">
        <v>297</v>
      </c>
    </row>
    <row r="591" spans="1:16" ht="15">
      <c r="A591" s="173"/>
      <c r="B591" s="173" t="s">
        <v>728</v>
      </c>
      <c r="C591" s="173" t="s">
        <v>450</v>
      </c>
      <c r="D591" s="172" t="s">
        <v>384</v>
      </c>
      <c r="E591" s="173">
        <v>1996</v>
      </c>
      <c r="F591" s="173">
        <v>10</v>
      </c>
      <c r="G591" s="173">
        <v>20</v>
      </c>
      <c r="H591" s="213" t="s">
        <v>1766</v>
      </c>
      <c r="I591" s="219" t="s">
        <v>1682</v>
      </c>
      <c r="J591" s="179">
        <v>7.8119999999999994</v>
      </c>
      <c r="K591" s="179" t="s">
        <v>1682</v>
      </c>
      <c r="L591" s="179" t="s">
        <v>1682</v>
      </c>
      <c r="M591" s="179" t="s">
        <v>1682</v>
      </c>
      <c r="N591" s="179" t="s">
        <v>1682</v>
      </c>
      <c r="O591" s="220" t="s">
        <v>1682</v>
      </c>
      <c r="P591" s="215" t="s">
        <v>297</v>
      </c>
    </row>
    <row r="592" spans="1:16" ht="15">
      <c r="A592" s="173"/>
      <c r="B592" s="173" t="s">
        <v>729</v>
      </c>
      <c r="C592" s="173" t="s">
        <v>730</v>
      </c>
      <c r="D592" s="172" t="s">
        <v>385</v>
      </c>
      <c r="E592" s="173">
        <v>1996</v>
      </c>
      <c r="F592" s="173">
        <v>11</v>
      </c>
      <c r="G592" s="173">
        <v>7</v>
      </c>
      <c r="H592" s="213" t="s">
        <v>1766</v>
      </c>
      <c r="I592" s="219" t="s">
        <v>1682</v>
      </c>
      <c r="J592" s="179">
        <v>11.424999999999997</v>
      </c>
      <c r="K592" s="179" t="s">
        <v>1682</v>
      </c>
      <c r="L592" s="179" t="s">
        <v>1682</v>
      </c>
      <c r="M592" s="179" t="s">
        <v>1682</v>
      </c>
      <c r="N592" s="179" t="s">
        <v>1682</v>
      </c>
      <c r="O592" s="220" t="s">
        <v>1682</v>
      </c>
      <c r="P592" s="215" t="s">
        <v>297</v>
      </c>
    </row>
    <row r="593" spans="1:16" ht="15">
      <c r="A593" s="173"/>
      <c r="B593" s="173" t="s">
        <v>731</v>
      </c>
      <c r="C593" s="173" t="s">
        <v>832</v>
      </c>
      <c r="D593" s="172" t="s">
        <v>386</v>
      </c>
      <c r="E593" s="173">
        <v>1996</v>
      </c>
      <c r="F593" s="173">
        <v>11</v>
      </c>
      <c r="G593" s="173">
        <v>10</v>
      </c>
      <c r="H593" s="213" t="s">
        <v>1766</v>
      </c>
      <c r="I593" s="219" t="s">
        <v>1682</v>
      </c>
      <c r="J593" s="179">
        <v>6.6880000000000006</v>
      </c>
      <c r="K593" s="179" t="s">
        <v>1682</v>
      </c>
      <c r="L593" s="179" t="s">
        <v>1682</v>
      </c>
      <c r="M593" s="179" t="s">
        <v>1682</v>
      </c>
      <c r="N593" s="179" t="s">
        <v>1682</v>
      </c>
      <c r="O593" s="220" t="s">
        <v>1682</v>
      </c>
      <c r="P593" s="215" t="s">
        <v>296</v>
      </c>
    </row>
    <row r="594" spans="1:16" ht="15">
      <c r="A594" s="173"/>
      <c r="B594" s="173" t="s">
        <v>833</v>
      </c>
      <c r="C594" s="173" t="s">
        <v>832</v>
      </c>
      <c r="D594" s="172" t="s">
        <v>386</v>
      </c>
      <c r="E594" s="173">
        <v>1996</v>
      </c>
      <c r="F594" s="173">
        <v>11</v>
      </c>
      <c r="G594" s="173">
        <v>12</v>
      </c>
      <c r="H594" s="213" t="s">
        <v>1766</v>
      </c>
      <c r="I594" s="219" t="s">
        <v>1682</v>
      </c>
      <c r="J594" s="179">
        <v>7.101</v>
      </c>
      <c r="K594" s="179" t="s">
        <v>1682</v>
      </c>
      <c r="L594" s="179" t="s">
        <v>1682</v>
      </c>
      <c r="M594" s="179" t="s">
        <v>1682</v>
      </c>
      <c r="N594" s="179" t="s">
        <v>1682</v>
      </c>
      <c r="O594" s="220" t="s">
        <v>1682</v>
      </c>
      <c r="P594" s="215" t="s">
        <v>296</v>
      </c>
    </row>
    <row r="595" spans="1:16" ht="15">
      <c r="A595" s="173"/>
      <c r="B595" s="173" t="s">
        <v>834</v>
      </c>
      <c r="C595" s="173" t="s">
        <v>835</v>
      </c>
      <c r="D595" s="172" t="s">
        <v>387</v>
      </c>
      <c r="E595" s="173">
        <v>1992</v>
      </c>
      <c r="F595" s="173">
        <v>7</v>
      </c>
      <c r="G595" s="173">
        <v>15</v>
      </c>
      <c r="H595" s="213" t="s">
        <v>1766</v>
      </c>
      <c r="I595" s="219" t="s">
        <v>1682</v>
      </c>
      <c r="J595" s="179">
        <v>1.901</v>
      </c>
      <c r="K595" s="179" t="s">
        <v>1682</v>
      </c>
      <c r="L595" s="179" t="s">
        <v>1682</v>
      </c>
      <c r="M595" s="179" t="s">
        <v>1682</v>
      </c>
      <c r="N595" s="179" t="s">
        <v>1682</v>
      </c>
      <c r="O595" s="220" t="s">
        <v>1682</v>
      </c>
      <c r="P595" s="215" t="s">
        <v>298</v>
      </c>
    </row>
    <row r="596" spans="1:16" ht="15">
      <c r="A596" s="173"/>
      <c r="B596" s="173" t="s">
        <v>836</v>
      </c>
      <c r="C596" s="173" t="s">
        <v>837</v>
      </c>
      <c r="D596" s="172" t="s">
        <v>388</v>
      </c>
      <c r="E596" s="173">
        <v>1992</v>
      </c>
      <c r="F596" s="173">
        <v>7</v>
      </c>
      <c r="G596" s="173">
        <v>15</v>
      </c>
      <c r="H596" s="213" t="s">
        <v>1766</v>
      </c>
      <c r="I596" s="219" t="s">
        <v>1682</v>
      </c>
      <c r="J596" s="179">
        <v>4.26</v>
      </c>
      <c r="K596" s="179" t="s">
        <v>1682</v>
      </c>
      <c r="L596" s="179" t="s">
        <v>1682</v>
      </c>
      <c r="M596" s="179" t="s">
        <v>1682</v>
      </c>
      <c r="N596" s="179" t="s">
        <v>1682</v>
      </c>
      <c r="O596" s="220" t="s">
        <v>1682</v>
      </c>
      <c r="P596" s="215" t="s">
        <v>298</v>
      </c>
    </row>
    <row r="597" spans="1:16" ht="15">
      <c r="A597" s="173"/>
      <c r="B597" s="173" t="s">
        <v>704</v>
      </c>
      <c r="C597" s="173" t="s">
        <v>705</v>
      </c>
      <c r="D597" s="172" t="s">
        <v>252</v>
      </c>
      <c r="E597" s="173">
        <v>1992</v>
      </c>
      <c r="F597" s="173">
        <v>7</v>
      </c>
      <c r="G597" s="173">
        <v>15</v>
      </c>
      <c r="H597" s="213" t="s">
        <v>1766</v>
      </c>
      <c r="I597" s="219" t="s">
        <v>1682</v>
      </c>
      <c r="J597" s="179">
        <v>1.1200000000000001</v>
      </c>
      <c r="K597" s="179" t="s">
        <v>1682</v>
      </c>
      <c r="L597" s="179" t="s">
        <v>1682</v>
      </c>
      <c r="M597" s="179" t="s">
        <v>1682</v>
      </c>
      <c r="N597" s="179" t="s">
        <v>1682</v>
      </c>
      <c r="O597" s="220" t="s">
        <v>1682</v>
      </c>
      <c r="P597" s="215" t="s">
        <v>298</v>
      </c>
    </row>
    <row r="598" spans="1:16" ht="15">
      <c r="A598" s="173"/>
      <c r="B598" s="173" t="s">
        <v>706</v>
      </c>
      <c r="C598" s="173" t="s">
        <v>707</v>
      </c>
      <c r="D598" s="172" t="s">
        <v>488</v>
      </c>
      <c r="E598" s="173">
        <v>1992</v>
      </c>
      <c r="F598" s="173">
        <v>7</v>
      </c>
      <c r="G598" s="173">
        <v>15</v>
      </c>
      <c r="H598" s="213" t="s">
        <v>1766</v>
      </c>
      <c r="I598" s="219" t="s">
        <v>1682</v>
      </c>
      <c r="J598" s="179">
        <v>6.89</v>
      </c>
      <c r="K598" s="179" t="s">
        <v>1682</v>
      </c>
      <c r="L598" s="179" t="s">
        <v>1682</v>
      </c>
      <c r="M598" s="179" t="s">
        <v>1682</v>
      </c>
      <c r="N598" s="179" t="s">
        <v>1682</v>
      </c>
      <c r="O598" s="220" t="s">
        <v>1682</v>
      </c>
      <c r="P598" s="215" t="s">
        <v>299</v>
      </c>
    </row>
    <row r="599" spans="1:16" ht="15">
      <c r="A599" s="173"/>
      <c r="B599" s="173" t="s">
        <v>708</v>
      </c>
      <c r="C599" s="173" t="s">
        <v>709</v>
      </c>
      <c r="D599" s="172" t="s">
        <v>489</v>
      </c>
      <c r="E599" s="173">
        <v>1992</v>
      </c>
      <c r="F599" s="173">
        <v>7</v>
      </c>
      <c r="G599" s="173">
        <v>15</v>
      </c>
      <c r="H599" s="213" t="s">
        <v>1766</v>
      </c>
      <c r="I599" s="219" t="s">
        <v>1682</v>
      </c>
      <c r="J599" s="179">
        <v>0.78</v>
      </c>
      <c r="K599" s="179" t="s">
        <v>1682</v>
      </c>
      <c r="L599" s="179" t="s">
        <v>1682</v>
      </c>
      <c r="M599" s="179" t="s">
        <v>1682</v>
      </c>
      <c r="N599" s="179" t="s">
        <v>1682</v>
      </c>
      <c r="O599" s="220" t="s">
        <v>1682</v>
      </c>
      <c r="P599" s="215" t="s">
        <v>299</v>
      </c>
    </row>
    <row r="600" spans="1:16" ht="15">
      <c r="A600" s="173"/>
      <c r="B600" s="173" t="s">
        <v>710</v>
      </c>
      <c r="C600" s="173" t="s">
        <v>711</v>
      </c>
      <c r="D600" s="172" t="s">
        <v>490</v>
      </c>
      <c r="E600" s="173">
        <v>1992</v>
      </c>
      <c r="F600" s="173">
        <v>7</v>
      </c>
      <c r="G600" s="173">
        <v>15</v>
      </c>
      <c r="H600" s="213" t="s">
        <v>1766</v>
      </c>
      <c r="I600" s="219" t="s">
        <v>1682</v>
      </c>
      <c r="J600" s="179">
        <v>2.66</v>
      </c>
      <c r="K600" s="179" t="s">
        <v>1682</v>
      </c>
      <c r="L600" s="179" t="s">
        <v>1682</v>
      </c>
      <c r="M600" s="179" t="s">
        <v>1682</v>
      </c>
      <c r="N600" s="179" t="s">
        <v>1682</v>
      </c>
      <c r="O600" s="220" t="s">
        <v>1682</v>
      </c>
      <c r="P600" s="215" t="s">
        <v>299</v>
      </c>
    </row>
    <row r="601" spans="1:16" ht="15">
      <c r="A601" s="173"/>
      <c r="B601" s="173" t="s">
        <v>579</v>
      </c>
      <c r="C601" s="173" t="s">
        <v>576</v>
      </c>
      <c r="D601" s="172" t="s">
        <v>491</v>
      </c>
      <c r="E601" s="173">
        <v>1992</v>
      </c>
      <c r="F601" s="173">
        <v>7</v>
      </c>
      <c r="G601" s="173">
        <v>15</v>
      </c>
      <c r="H601" s="213" t="s">
        <v>1766</v>
      </c>
      <c r="I601" s="219" t="s">
        <v>1682</v>
      </c>
      <c r="J601" s="179">
        <v>2.13</v>
      </c>
      <c r="K601" s="179" t="s">
        <v>1682</v>
      </c>
      <c r="L601" s="179" t="s">
        <v>1682</v>
      </c>
      <c r="M601" s="179" t="s">
        <v>1682</v>
      </c>
      <c r="N601" s="179" t="s">
        <v>1682</v>
      </c>
      <c r="O601" s="220" t="s">
        <v>1682</v>
      </c>
      <c r="P601" s="215" t="s">
        <v>299</v>
      </c>
    </row>
    <row r="602" spans="1:16" ht="15">
      <c r="A602" s="173"/>
      <c r="B602" s="173" t="s">
        <v>577</v>
      </c>
      <c r="C602" s="173" t="s">
        <v>578</v>
      </c>
      <c r="D602" s="172" t="s">
        <v>138</v>
      </c>
      <c r="E602" s="173">
        <v>1992</v>
      </c>
      <c r="F602" s="173">
        <v>7</v>
      </c>
      <c r="G602" s="173">
        <v>15</v>
      </c>
      <c r="H602" s="213" t="s">
        <v>1766</v>
      </c>
      <c r="I602" s="219" t="s">
        <v>1682</v>
      </c>
      <c r="J602" s="179">
        <v>1.04</v>
      </c>
      <c r="K602" s="179" t="s">
        <v>1682</v>
      </c>
      <c r="L602" s="179" t="s">
        <v>1682</v>
      </c>
      <c r="M602" s="179" t="s">
        <v>1682</v>
      </c>
      <c r="N602" s="179" t="s">
        <v>1682</v>
      </c>
      <c r="O602" s="220" t="s">
        <v>1682</v>
      </c>
      <c r="P602" s="215" t="s">
        <v>296</v>
      </c>
    </row>
    <row r="603" spans="1:16" ht="15">
      <c r="A603" s="173"/>
      <c r="B603" s="173" t="s">
        <v>449</v>
      </c>
      <c r="C603" s="173" t="s">
        <v>494</v>
      </c>
      <c r="D603" s="172" t="s">
        <v>260</v>
      </c>
      <c r="E603" s="173">
        <v>1992</v>
      </c>
      <c r="F603" s="173">
        <v>7</v>
      </c>
      <c r="G603" s="173">
        <v>15</v>
      </c>
      <c r="H603" s="213" t="s">
        <v>1766</v>
      </c>
      <c r="I603" s="219" t="s">
        <v>1682</v>
      </c>
      <c r="J603" s="179">
        <v>1.33</v>
      </c>
      <c r="K603" s="179" t="s">
        <v>1682</v>
      </c>
      <c r="L603" s="179" t="s">
        <v>1682</v>
      </c>
      <c r="M603" s="179" t="s">
        <v>1682</v>
      </c>
      <c r="N603" s="179" t="s">
        <v>1682</v>
      </c>
      <c r="O603" s="220" t="s">
        <v>1682</v>
      </c>
      <c r="P603" s="215" t="s">
        <v>299</v>
      </c>
    </row>
    <row r="604" spans="1:16" ht="15">
      <c r="A604" s="173"/>
      <c r="B604" s="173" t="s">
        <v>616</v>
      </c>
      <c r="C604" s="173" t="s">
        <v>617</v>
      </c>
      <c r="D604" s="172" t="s">
        <v>261</v>
      </c>
      <c r="E604" s="173">
        <v>1992</v>
      </c>
      <c r="F604" s="173">
        <v>7</v>
      </c>
      <c r="G604" s="173">
        <v>15</v>
      </c>
      <c r="H604" s="213" t="s">
        <v>1766</v>
      </c>
      <c r="I604" s="219" t="s">
        <v>1682</v>
      </c>
      <c r="J604" s="179">
        <v>2.29</v>
      </c>
      <c r="K604" s="179" t="s">
        <v>1682</v>
      </c>
      <c r="L604" s="179" t="s">
        <v>1682</v>
      </c>
      <c r="M604" s="179" t="s">
        <v>1682</v>
      </c>
      <c r="N604" s="179" t="s">
        <v>1682</v>
      </c>
      <c r="O604" s="220" t="s">
        <v>1682</v>
      </c>
      <c r="P604" s="215" t="s">
        <v>299</v>
      </c>
    </row>
    <row r="605" spans="1:16" ht="15">
      <c r="A605" s="173"/>
      <c r="B605" s="173" t="s">
        <v>851</v>
      </c>
      <c r="C605" s="173" t="s">
        <v>852</v>
      </c>
      <c r="D605" s="172" t="s">
        <v>421</v>
      </c>
      <c r="E605" s="173">
        <v>1992</v>
      </c>
      <c r="F605" s="173">
        <v>7</v>
      </c>
      <c r="G605" s="173">
        <v>15</v>
      </c>
      <c r="H605" s="213" t="s">
        <v>1766</v>
      </c>
      <c r="I605" s="219" t="s">
        <v>1682</v>
      </c>
      <c r="J605" s="179">
        <v>4.05</v>
      </c>
      <c r="K605" s="179" t="s">
        <v>1682</v>
      </c>
      <c r="L605" s="179" t="s">
        <v>1682</v>
      </c>
      <c r="M605" s="179" t="s">
        <v>1682</v>
      </c>
      <c r="N605" s="179" t="s">
        <v>1682</v>
      </c>
      <c r="O605" s="220" t="s">
        <v>1682</v>
      </c>
      <c r="P605" s="215" t="s">
        <v>298</v>
      </c>
    </row>
    <row r="606" spans="1:16" ht="15">
      <c r="A606" s="173"/>
      <c r="B606" s="173" t="s">
        <v>523</v>
      </c>
      <c r="C606" s="173" t="s">
        <v>666</v>
      </c>
      <c r="D606" s="172" t="s">
        <v>68</v>
      </c>
      <c r="E606" s="173">
        <v>1992</v>
      </c>
      <c r="F606" s="173">
        <v>7</v>
      </c>
      <c r="G606" s="173">
        <v>15</v>
      </c>
      <c r="H606" s="213" t="s">
        <v>1766</v>
      </c>
      <c r="I606" s="219" t="s">
        <v>1682</v>
      </c>
      <c r="J606" s="179">
        <v>1.48</v>
      </c>
      <c r="K606" s="179" t="s">
        <v>1682</v>
      </c>
      <c r="L606" s="179" t="s">
        <v>1682</v>
      </c>
      <c r="M606" s="179" t="s">
        <v>1682</v>
      </c>
      <c r="N606" s="179" t="s">
        <v>1682</v>
      </c>
      <c r="O606" s="220" t="s">
        <v>1682</v>
      </c>
      <c r="P606" s="215" t="s">
        <v>298</v>
      </c>
    </row>
    <row r="607" spans="1:16" ht="15">
      <c r="A607" s="173"/>
      <c r="B607" s="173" t="s">
        <v>667</v>
      </c>
      <c r="C607" s="173" t="s">
        <v>668</v>
      </c>
      <c r="D607" s="172" t="s">
        <v>69</v>
      </c>
      <c r="E607" s="173">
        <v>1992</v>
      </c>
      <c r="F607" s="173">
        <v>7</v>
      </c>
      <c r="G607" s="173">
        <v>15</v>
      </c>
      <c r="H607" s="213" t="s">
        <v>1766</v>
      </c>
      <c r="I607" s="219" t="s">
        <v>1682</v>
      </c>
      <c r="J607" s="179">
        <v>0.98</v>
      </c>
      <c r="K607" s="179" t="s">
        <v>1682</v>
      </c>
      <c r="L607" s="179" t="s">
        <v>1682</v>
      </c>
      <c r="M607" s="179" t="s">
        <v>1682</v>
      </c>
      <c r="N607" s="179" t="s">
        <v>1682</v>
      </c>
      <c r="O607" s="220" t="s">
        <v>1682</v>
      </c>
      <c r="P607" s="215" t="s">
        <v>299</v>
      </c>
    </row>
    <row r="608" spans="1:16" ht="15">
      <c r="A608" s="173"/>
      <c r="B608" s="173" t="s">
        <v>560</v>
      </c>
      <c r="C608" s="173" t="s">
        <v>608</v>
      </c>
      <c r="D608" s="172" t="s">
        <v>70</v>
      </c>
      <c r="E608" s="173">
        <v>1992</v>
      </c>
      <c r="F608" s="173">
        <v>7</v>
      </c>
      <c r="G608" s="173">
        <v>15</v>
      </c>
      <c r="H608" s="213" t="s">
        <v>1766</v>
      </c>
      <c r="I608" s="219" t="s">
        <v>1682</v>
      </c>
      <c r="J608" s="179">
        <v>2.1800000000000002</v>
      </c>
      <c r="K608" s="179" t="s">
        <v>1682</v>
      </c>
      <c r="L608" s="179" t="s">
        <v>1682</v>
      </c>
      <c r="M608" s="179" t="s">
        <v>1682</v>
      </c>
      <c r="N608" s="179" t="s">
        <v>1682</v>
      </c>
      <c r="O608" s="220" t="s">
        <v>1682</v>
      </c>
      <c r="P608" s="215" t="s">
        <v>299</v>
      </c>
    </row>
    <row r="609" spans="1:16" ht="15">
      <c r="A609" s="173"/>
      <c r="B609" s="173" t="s">
        <v>561</v>
      </c>
      <c r="C609" s="173" t="s">
        <v>562</v>
      </c>
      <c r="D609" s="172" t="s">
        <v>71</v>
      </c>
      <c r="E609" s="173">
        <v>1992</v>
      </c>
      <c r="F609" s="173">
        <v>7</v>
      </c>
      <c r="G609" s="173">
        <v>15</v>
      </c>
      <c r="H609" s="213" t="s">
        <v>1766</v>
      </c>
      <c r="I609" s="219" t="s">
        <v>1682</v>
      </c>
      <c r="J609" s="179">
        <v>3.9</v>
      </c>
      <c r="K609" s="179" t="s">
        <v>1682</v>
      </c>
      <c r="L609" s="179" t="s">
        <v>1682</v>
      </c>
      <c r="M609" s="179" t="s">
        <v>1682</v>
      </c>
      <c r="N609" s="179" t="s">
        <v>1682</v>
      </c>
      <c r="O609" s="220" t="s">
        <v>1682</v>
      </c>
      <c r="P609" s="215" t="s">
        <v>299</v>
      </c>
    </row>
    <row r="610" spans="1:16" ht="15">
      <c r="A610" s="173"/>
      <c r="B610" s="173" t="s">
        <v>802</v>
      </c>
      <c r="C610" s="173" t="s">
        <v>916</v>
      </c>
      <c r="D610" s="172" t="s">
        <v>72</v>
      </c>
      <c r="E610" s="173">
        <v>1992</v>
      </c>
      <c r="F610" s="173">
        <v>7</v>
      </c>
      <c r="G610" s="173">
        <v>15</v>
      </c>
      <c r="H610" s="213" t="s">
        <v>1766</v>
      </c>
      <c r="I610" s="219" t="s">
        <v>1682</v>
      </c>
      <c r="J610" s="179">
        <v>0.83</v>
      </c>
      <c r="K610" s="179" t="s">
        <v>1682</v>
      </c>
      <c r="L610" s="179" t="s">
        <v>1682</v>
      </c>
      <c r="M610" s="179" t="s">
        <v>1682</v>
      </c>
      <c r="N610" s="179" t="s">
        <v>1682</v>
      </c>
      <c r="O610" s="220" t="s">
        <v>1682</v>
      </c>
      <c r="P610" s="215" t="s">
        <v>299</v>
      </c>
    </row>
    <row r="611" spans="1:16" ht="15">
      <c r="A611" s="173"/>
      <c r="B611" s="173" t="s">
        <v>917</v>
      </c>
      <c r="C611" s="173" t="s">
        <v>918</v>
      </c>
      <c r="D611" s="172" t="s">
        <v>73</v>
      </c>
      <c r="E611" s="173">
        <v>1994</v>
      </c>
      <c r="F611" s="173">
        <v>7</v>
      </c>
      <c r="G611" s="173">
        <v>9</v>
      </c>
      <c r="H611" s="213" t="s">
        <v>1766</v>
      </c>
      <c r="I611" s="219" t="s">
        <v>1682</v>
      </c>
      <c r="J611" s="179">
        <v>5.03</v>
      </c>
      <c r="K611" s="179" t="s">
        <v>1682</v>
      </c>
      <c r="L611" s="179" t="s">
        <v>1682</v>
      </c>
      <c r="M611" s="179" t="s">
        <v>1682</v>
      </c>
      <c r="N611" s="179" t="s">
        <v>1682</v>
      </c>
      <c r="O611" s="220" t="s">
        <v>1682</v>
      </c>
      <c r="P611" s="215" t="s">
        <v>100</v>
      </c>
    </row>
    <row r="612" spans="1:16" ht="15">
      <c r="A612" s="173"/>
      <c r="B612" s="173" t="s">
        <v>580</v>
      </c>
      <c r="C612" s="173" t="s">
        <v>581</v>
      </c>
      <c r="D612" s="172" t="s">
        <v>74</v>
      </c>
      <c r="E612" s="173">
        <v>1994</v>
      </c>
      <c r="F612" s="173">
        <v>7</v>
      </c>
      <c r="G612" s="173">
        <v>10</v>
      </c>
      <c r="H612" s="213" t="s">
        <v>1766</v>
      </c>
      <c r="I612" s="219" t="s">
        <v>1682</v>
      </c>
      <c r="J612" s="179">
        <v>4.41</v>
      </c>
      <c r="K612" s="179" t="s">
        <v>1682</v>
      </c>
      <c r="L612" s="179" t="s">
        <v>1682</v>
      </c>
      <c r="M612" s="179" t="s">
        <v>1682</v>
      </c>
      <c r="N612" s="179" t="s">
        <v>1682</v>
      </c>
      <c r="O612" s="220" t="s">
        <v>1682</v>
      </c>
      <c r="P612" s="215" t="s">
        <v>100</v>
      </c>
    </row>
    <row r="613" spans="1:16" ht="15">
      <c r="A613" s="173"/>
      <c r="B613" s="173" t="s">
        <v>79</v>
      </c>
      <c r="C613" s="173" t="s">
        <v>80</v>
      </c>
      <c r="D613" s="172" t="s">
        <v>75</v>
      </c>
      <c r="E613" s="173">
        <v>1994</v>
      </c>
      <c r="F613" s="173">
        <v>7</v>
      </c>
      <c r="G613" s="173">
        <v>11</v>
      </c>
      <c r="H613" s="213" t="s">
        <v>1766</v>
      </c>
      <c r="I613" s="219" t="s">
        <v>1682</v>
      </c>
      <c r="J613" s="179">
        <v>3.64</v>
      </c>
      <c r="K613" s="179" t="s">
        <v>1682</v>
      </c>
      <c r="L613" s="179" t="s">
        <v>1682</v>
      </c>
      <c r="M613" s="179" t="s">
        <v>1682</v>
      </c>
      <c r="N613" s="179" t="s">
        <v>1682</v>
      </c>
      <c r="O613" s="220" t="s">
        <v>1682</v>
      </c>
      <c r="P613" s="215" t="s">
        <v>101</v>
      </c>
    </row>
    <row r="614" spans="1:16" ht="15">
      <c r="A614" s="173"/>
      <c r="B614" s="173" t="s">
        <v>214</v>
      </c>
      <c r="C614" s="173" t="s">
        <v>215</v>
      </c>
      <c r="D614" s="172" t="s">
        <v>76</v>
      </c>
      <c r="E614" s="173">
        <v>1994</v>
      </c>
      <c r="F614" s="173">
        <v>7</v>
      </c>
      <c r="G614" s="173">
        <v>12</v>
      </c>
      <c r="H614" s="213" t="s">
        <v>1766</v>
      </c>
      <c r="I614" s="219" t="s">
        <v>1682</v>
      </c>
      <c r="J614" s="179">
        <v>7.12</v>
      </c>
      <c r="K614" s="179" t="s">
        <v>1682</v>
      </c>
      <c r="L614" s="179" t="s">
        <v>1682</v>
      </c>
      <c r="M614" s="179" t="s">
        <v>1682</v>
      </c>
      <c r="N614" s="179" t="s">
        <v>1682</v>
      </c>
      <c r="O614" s="220" t="s">
        <v>1682</v>
      </c>
      <c r="P614" s="215" t="s">
        <v>101</v>
      </c>
    </row>
    <row r="615" spans="1:16" ht="15">
      <c r="A615" s="173"/>
      <c r="B615" s="173" t="s">
        <v>77</v>
      </c>
      <c r="C615" s="173" t="s">
        <v>78</v>
      </c>
      <c r="D615" s="172" t="s">
        <v>302</v>
      </c>
      <c r="E615" s="173">
        <v>1994</v>
      </c>
      <c r="F615" s="173">
        <v>7</v>
      </c>
      <c r="G615" s="173">
        <v>13</v>
      </c>
      <c r="H615" s="213" t="s">
        <v>1766</v>
      </c>
      <c r="I615" s="219" t="s">
        <v>1682</v>
      </c>
      <c r="J615" s="179">
        <v>2.99</v>
      </c>
      <c r="K615" s="179" t="s">
        <v>1682</v>
      </c>
      <c r="L615" s="179" t="s">
        <v>1682</v>
      </c>
      <c r="M615" s="179" t="s">
        <v>1682</v>
      </c>
      <c r="N615" s="179" t="s">
        <v>1682</v>
      </c>
      <c r="O615" s="220" t="s">
        <v>1682</v>
      </c>
      <c r="P615" s="215" t="s">
        <v>101</v>
      </c>
    </row>
    <row r="616" spans="1:16" ht="15">
      <c r="A616" s="173"/>
      <c r="B616" s="173" t="s">
        <v>303</v>
      </c>
      <c r="C616" s="173" t="s">
        <v>192</v>
      </c>
      <c r="D616" s="172" t="s">
        <v>9</v>
      </c>
      <c r="E616" s="173">
        <v>1994</v>
      </c>
      <c r="F616" s="173">
        <v>7</v>
      </c>
      <c r="G616" s="173">
        <v>14</v>
      </c>
      <c r="H616" s="213" t="s">
        <v>1766</v>
      </c>
      <c r="I616" s="219" t="s">
        <v>1682</v>
      </c>
      <c r="J616" s="179">
        <v>3.82</v>
      </c>
      <c r="K616" s="179" t="s">
        <v>1682</v>
      </c>
      <c r="L616" s="179" t="s">
        <v>1682</v>
      </c>
      <c r="M616" s="179" t="s">
        <v>1682</v>
      </c>
      <c r="N616" s="179" t="s">
        <v>1682</v>
      </c>
      <c r="O616" s="220" t="s">
        <v>1682</v>
      </c>
      <c r="P616" s="215" t="s">
        <v>101</v>
      </c>
    </row>
    <row r="617" spans="1:16" ht="15">
      <c r="A617" s="173"/>
      <c r="B617" s="173" t="s">
        <v>10</v>
      </c>
      <c r="C617" s="173" t="s">
        <v>11</v>
      </c>
      <c r="D617" s="172" t="s">
        <v>12</v>
      </c>
      <c r="E617" s="173">
        <v>1994</v>
      </c>
      <c r="F617" s="173">
        <v>7</v>
      </c>
      <c r="G617" s="173">
        <v>15</v>
      </c>
      <c r="H617" s="213" t="s">
        <v>1766</v>
      </c>
      <c r="I617" s="219" t="s">
        <v>1682</v>
      </c>
      <c r="J617" s="179">
        <v>3.72</v>
      </c>
      <c r="K617" s="179" t="s">
        <v>1682</v>
      </c>
      <c r="L617" s="179" t="s">
        <v>1682</v>
      </c>
      <c r="M617" s="179" t="s">
        <v>1682</v>
      </c>
      <c r="N617" s="179" t="s">
        <v>1682</v>
      </c>
      <c r="O617" s="220" t="s">
        <v>1682</v>
      </c>
      <c r="P617" s="215" t="s">
        <v>101</v>
      </c>
    </row>
    <row r="618" spans="1:16" ht="15">
      <c r="A618" s="173"/>
      <c r="B618" s="173" t="s">
        <v>13</v>
      </c>
      <c r="C618" s="173" t="s">
        <v>14</v>
      </c>
      <c r="D618" s="172" t="s">
        <v>15</v>
      </c>
      <c r="E618" s="173">
        <v>1994</v>
      </c>
      <c r="F618" s="173">
        <v>7</v>
      </c>
      <c r="G618" s="173">
        <v>16</v>
      </c>
      <c r="H618" s="213" t="s">
        <v>1766</v>
      </c>
      <c r="I618" s="219" t="s">
        <v>1682</v>
      </c>
      <c r="J618" s="179">
        <v>2.6</v>
      </c>
      <c r="K618" s="179" t="s">
        <v>1682</v>
      </c>
      <c r="L618" s="179" t="s">
        <v>1682</v>
      </c>
      <c r="M618" s="179" t="s">
        <v>1682</v>
      </c>
      <c r="N618" s="179" t="s">
        <v>1682</v>
      </c>
      <c r="O618" s="220" t="s">
        <v>1682</v>
      </c>
      <c r="P618" s="215" t="s">
        <v>296</v>
      </c>
    </row>
    <row r="619" spans="1:16" ht="15">
      <c r="A619" s="173"/>
      <c r="B619" s="173" t="s">
        <v>16</v>
      </c>
      <c r="C619" s="173" t="s">
        <v>17</v>
      </c>
      <c r="D619" s="172" t="s">
        <v>321</v>
      </c>
      <c r="E619" s="173">
        <v>1994</v>
      </c>
      <c r="F619" s="173">
        <v>7</v>
      </c>
      <c r="G619" s="173">
        <v>17</v>
      </c>
      <c r="H619" s="213" t="s">
        <v>1766</v>
      </c>
      <c r="I619" s="219" t="s">
        <v>1682</v>
      </c>
      <c r="J619" s="179">
        <v>3.11</v>
      </c>
      <c r="K619" s="179" t="s">
        <v>1682</v>
      </c>
      <c r="L619" s="179" t="s">
        <v>1682</v>
      </c>
      <c r="M619" s="179" t="s">
        <v>1682</v>
      </c>
      <c r="N619" s="179" t="s">
        <v>1682</v>
      </c>
      <c r="O619" s="220" t="s">
        <v>1682</v>
      </c>
      <c r="P619" s="215" t="s">
        <v>296</v>
      </c>
    </row>
    <row r="620" spans="1:16" ht="15">
      <c r="A620" s="173"/>
      <c r="B620" s="173" t="s">
        <v>322</v>
      </c>
      <c r="C620" s="173" t="s">
        <v>210</v>
      </c>
      <c r="D620" s="172" t="s">
        <v>445</v>
      </c>
      <c r="E620" s="173">
        <v>2008</v>
      </c>
      <c r="F620" s="173">
        <v>10</v>
      </c>
      <c r="G620" s="173">
        <v>26</v>
      </c>
      <c r="H620" s="213" t="s">
        <v>1766</v>
      </c>
      <c r="I620" s="219" t="s">
        <v>1682</v>
      </c>
      <c r="J620" s="179">
        <v>4.99</v>
      </c>
      <c r="K620" s="179" t="s">
        <v>1682</v>
      </c>
      <c r="L620" s="179" t="s">
        <v>1682</v>
      </c>
      <c r="M620" s="179" t="s">
        <v>1682</v>
      </c>
      <c r="N620" s="179" t="s">
        <v>1682</v>
      </c>
      <c r="O620" s="220" t="s">
        <v>1682</v>
      </c>
      <c r="P620" s="215" t="s">
        <v>299</v>
      </c>
    </row>
    <row r="621" spans="1:16" ht="15">
      <c r="A621" s="173"/>
      <c r="B621" s="173" t="s">
        <v>207</v>
      </c>
      <c r="C621" s="173" t="s">
        <v>208</v>
      </c>
      <c r="D621" s="172" t="s">
        <v>446</v>
      </c>
      <c r="E621" s="173">
        <v>2007</v>
      </c>
      <c r="F621" s="173">
        <v>8</v>
      </c>
      <c r="G621" s="173">
        <v>25</v>
      </c>
      <c r="H621" s="213" t="s">
        <v>1766</v>
      </c>
      <c r="I621" s="219" t="s">
        <v>1682</v>
      </c>
      <c r="J621" s="179">
        <v>3.83</v>
      </c>
      <c r="K621" s="179" t="s">
        <v>1682</v>
      </c>
      <c r="L621" s="179" t="s">
        <v>1682</v>
      </c>
      <c r="M621" s="179" t="s">
        <v>1682</v>
      </c>
      <c r="N621" s="179" t="s">
        <v>1682</v>
      </c>
      <c r="O621" s="220" t="s">
        <v>1682</v>
      </c>
      <c r="P621" s="215" t="s">
        <v>299</v>
      </c>
    </row>
    <row r="622" spans="1:16" ht="15">
      <c r="A622" s="173"/>
      <c r="B622" s="173" t="s">
        <v>209</v>
      </c>
      <c r="C622" s="173" t="s">
        <v>210</v>
      </c>
      <c r="D622" s="172" t="s">
        <v>327</v>
      </c>
      <c r="E622" s="173">
        <v>2007</v>
      </c>
      <c r="F622" s="173">
        <v>8</v>
      </c>
      <c r="G622" s="173">
        <v>26</v>
      </c>
      <c r="H622" s="213" t="s">
        <v>1766</v>
      </c>
      <c r="I622" s="219" t="s">
        <v>1682</v>
      </c>
      <c r="J622" s="179">
        <v>1.57</v>
      </c>
      <c r="K622" s="179" t="s">
        <v>1682</v>
      </c>
      <c r="L622" s="179" t="s">
        <v>1682</v>
      </c>
      <c r="M622" s="179" t="s">
        <v>1682</v>
      </c>
      <c r="N622" s="179" t="s">
        <v>1682</v>
      </c>
      <c r="O622" s="220" t="s">
        <v>1682</v>
      </c>
      <c r="P622" s="215" t="s">
        <v>299</v>
      </c>
    </row>
    <row r="623" spans="1:16" ht="15">
      <c r="A623" s="173"/>
      <c r="B623" s="173" t="s">
        <v>209</v>
      </c>
      <c r="C623" s="173" t="s">
        <v>211</v>
      </c>
      <c r="D623" s="172" t="s">
        <v>444</v>
      </c>
      <c r="E623" s="173">
        <v>2007</v>
      </c>
      <c r="F623" s="173">
        <v>8</v>
      </c>
      <c r="G623" s="173">
        <v>26</v>
      </c>
      <c r="H623" s="213" t="s">
        <v>1766</v>
      </c>
      <c r="I623" s="219" t="s">
        <v>1682</v>
      </c>
      <c r="J623" s="179">
        <v>1.44</v>
      </c>
      <c r="K623" s="179" t="s">
        <v>1682</v>
      </c>
      <c r="L623" s="179" t="s">
        <v>1682</v>
      </c>
      <c r="M623" s="179" t="s">
        <v>1682</v>
      </c>
      <c r="N623" s="179" t="s">
        <v>1682</v>
      </c>
      <c r="O623" s="220" t="s">
        <v>1682</v>
      </c>
      <c r="P623" s="215" t="s">
        <v>299</v>
      </c>
    </row>
    <row r="624" spans="1:16" ht="15">
      <c r="A624" s="173"/>
      <c r="B624" s="173" t="s">
        <v>564</v>
      </c>
      <c r="C624" s="173" t="s">
        <v>565</v>
      </c>
      <c r="D624" s="172" t="s">
        <v>566</v>
      </c>
      <c r="E624" s="173">
        <v>2008</v>
      </c>
      <c r="F624" s="173">
        <v>10</v>
      </c>
      <c r="G624" s="173">
        <v>26</v>
      </c>
      <c r="H624" s="213" t="s">
        <v>1766</v>
      </c>
      <c r="I624" s="219" t="s">
        <v>1682</v>
      </c>
      <c r="J624" s="179">
        <v>4.47</v>
      </c>
      <c r="K624" s="179" t="s">
        <v>1682</v>
      </c>
      <c r="L624" s="179" t="s">
        <v>1682</v>
      </c>
      <c r="M624" s="179" t="s">
        <v>1682</v>
      </c>
      <c r="N624" s="179" t="s">
        <v>1682</v>
      </c>
      <c r="O624" s="220" t="s">
        <v>1682</v>
      </c>
      <c r="P624" s="215" t="s">
        <v>299</v>
      </c>
    </row>
    <row r="625" spans="1:16" ht="15">
      <c r="A625" s="173"/>
      <c r="B625" s="173" t="s">
        <v>567</v>
      </c>
      <c r="C625" s="173" t="s">
        <v>208</v>
      </c>
      <c r="D625" s="172" t="s">
        <v>669</v>
      </c>
      <c r="E625" s="173">
        <v>2008</v>
      </c>
      <c r="F625" s="173">
        <v>10</v>
      </c>
      <c r="G625" s="173">
        <v>26</v>
      </c>
      <c r="H625" s="213" t="s">
        <v>1766</v>
      </c>
      <c r="I625" s="219" t="s">
        <v>1682</v>
      </c>
      <c r="J625" s="179">
        <v>5.09</v>
      </c>
      <c r="K625" s="179" t="s">
        <v>1682</v>
      </c>
      <c r="L625" s="179" t="s">
        <v>1682</v>
      </c>
      <c r="M625" s="179" t="s">
        <v>1682</v>
      </c>
      <c r="N625" s="179" t="s">
        <v>1682</v>
      </c>
      <c r="O625" s="220" t="s">
        <v>1682</v>
      </c>
      <c r="P625" s="215" t="s">
        <v>299</v>
      </c>
    </row>
    <row r="626" spans="1:16" ht="16" thickBot="1">
      <c r="A626" s="173"/>
      <c r="B626" s="173" t="s">
        <v>205</v>
      </c>
      <c r="C626" s="173" t="s">
        <v>206</v>
      </c>
      <c r="D626" s="172" t="s">
        <v>573</v>
      </c>
      <c r="E626" s="173">
        <v>2008</v>
      </c>
      <c r="F626" s="173">
        <v>10</v>
      </c>
      <c r="G626" s="173">
        <v>26</v>
      </c>
      <c r="H626" s="213" t="s">
        <v>1766</v>
      </c>
      <c r="I626" s="221" t="s">
        <v>1682</v>
      </c>
      <c r="J626" s="222">
        <v>9.02</v>
      </c>
      <c r="K626" s="222" t="s">
        <v>1682</v>
      </c>
      <c r="L626" s="222" t="s">
        <v>1682</v>
      </c>
      <c r="M626" s="222" t="s">
        <v>1682</v>
      </c>
      <c r="N626" s="222" t="s">
        <v>1682</v>
      </c>
      <c r="O626" s="223" t="s">
        <v>1682</v>
      </c>
      <c r="P626" s="215" t="s">
        <v>299</v>
      </c>
    </row>
    <row r="627" spans="1:16" ht="15">
      <c r="A627" s="201"/>
      <c r="B627" s="105"/>
      <c r="C627" s="105"/>
      <c r="D627" s="57"/>
      <c r="E627" s="105"/>
      <c r="F627" s="105"/>
      <c r="G627" s="105"/>
      <c r="H627" s="3"/>
      <c r="J627" s="201"/>
      <c r="K627" s="105"/>
      <c r="L627" s="105"/>
      <c r="M627" s="105"/>
      <c r="N627" s="105"/>
      <c r="O627" s="105"/>
      <c r="P627" s="106"/>
    </row>
    <row r="628" spans="1:16" ht="15">
      <c r="A628" s="329"/>
      <c r="B628" s="318"/>
      <c r="C628" s="318"/>
      <c r="D628" s="330"/>
      <c r="E628" s="318"/>
      <c r="F628" s="318"/>
      <c r="G628" s="318"/>
      <c r="H628" s="325"/>
      <c r="I628" s="321"/>
      <c r="J628" s="329"/>
      <c r="K628" s="318"/>
      <c r="L628" s="318"/>
      <c r="M628" s="318"/>
      <c r="N628" s="318"/>
      <c r="O628" s="318"/>
      <c r="P628" s="316"/>
    </row>
    <row r="629" spans="1:16" ht="15">
      <c r="A629" s="201"/>
      <c r="B629" s="105"/>
      <c r="C629" s="105"/>
      <c r="D629" s="57"/>
      <c r="E629" s="105"/>
      <c r="F629" s="105"/>
      <c r="G629" s="105"/>
      <c r="H629" s="3"/>
      <c r="J629" s="201"/>
      <c r="K629" s="105"/>
      <c r="L629" s="105"/>
      <c r="M629" s="105"/>
      <c r="N629" s="105"/>
      <c r="O629" s="105"/>
      <c r="P629" s="106"/>
    </row>
    <row r="630" spans="1:16" ht="15">
      <c r="A630" s="174" t="s">
        <v>796</v>
      </c>
      <c r="B630" s="170" t="s">
        <v>1721</v>
      </c>
      <c r="C630" s="170" t="s">
        <v>1722</v>
      </c>
      <c r="D630" s="169" t="s">
        <v>1830</v>
      </c>
      <c r="E630" s="175" t="s">
        <v>797</v>
      </c>
      <c r="F630" s="175" t="s">
        <v>1046</v>
      </c>
      <c r="G630" s="175" t="s">
        <v>1046</v>
      </c>
      <c r="H630" s="174" t="s">
        <v>1831</v>
      </c>
      <c r="I630" s="175" t="s">
        <v>756</v>
      </c>
      <c r="J630" s="175">
        <v>3.3</v>
      </c>
      <c r="K630" s="175" t="s">
        <v>1046</v>
      </c>
      <c r="L630" s="175" t="s">
        <v>1682</v>
      </c>
      <c r="M630" s="175" t="s">
        <v>1682</v>
      </c>
      <c r="N630" s="175" t="s">
        <v>1682</v>
      </c>
      <c r="O630" s="175" t="s">
        <v>1046</v>
      </c>
      <c r="P630" s="208" t="s">
        <v>239</v>
      </c>
    </row>
    <row r="631" spans="1:16" ht="15">
      <c r="A631" s="174"/>
      <c r="B631" s="170" t="s">
        <v>1721</v>
      </c>
      <c r="C631" s="170" t="s">
        <v>1722</v>
      </c>
      <c r="D631" s="169" t="s">
        <v>1830</v>
      </c>
      <c r="E631" s="175" t="s">
        <v>797</v>
      </c>
      <c r="F631" s="175" t="s">
        <v>1046</v>
      </c>
      <c r="G631" s="175" t="s">
        <v>1046</v>
      </c>
      <c r="H631" s="174" t="s">
        <v>1831</v>
      </c>
      <c r="I631" s="175" t="s">
        <v>756</v>
      </c>
      <c r="J631" s="175">
        <v>5.7</v>
      </c>
      <c r="K631" s="175" t="s">
        <v>1046</v>
      </c>
      <c r="L631" s="175" t="s">
        <v>1682</v>
      </c>
      <c r="M631" s="175" t="s">
        <v>1682</v>
      </c>
      <c r="N631" s="175" t="s">
        <v>1682</v>
      </c>
      <c r="O631" s="175" t="s">
        <v>1046</v>
      </c>
      <c r="P631" s="208" t="s">
        <v>239</v>
      </c>
    </row>
    <row r="632" spans="1:16" ht="15">
      <c r="A632" s="174"/>
      <c r="B632" s="170" t="s">
        <v>1721</v>
      </c>
      <c r="C632" s="170" t="s">
        <v>1722</v>
      </c>
      <c r="D632" s="169" t="s">
        <v>1830</v>
      </c>
      <c r="E632" s="175" t="s">
        <v>797</v>
      </c>
      <c r="F632" s="175" t="s">
        <v>1046</v>
      </c>
      <c r="G632" s="175" t="s">
        <v>1046</v>
      </c>
      <c r="H632" s="174" t="s">
        <v>1831</v>
      </c>
      <c r="I632" s="175" t="s">
        <v>756</v>
      </c>
      <c r="J632" s="175">
        <v>8.3000000000000007</v>
      </c>
      <c r="K632" s="175" t="s">
        <v>1046</v>
      </c>
      <c r="L632" s="175" t="s">
        <v>575</v>
      </c>
      <c r="M632" s="175" t="s">
        <v>575</v>
      </c>
      <c r="N632" s="175" t="s">
        <v>575</v>
      </c>
      <c r="O632" s="175" t="s">
        <v>1046</v>
      </c>
      <c r="P632" s="208" t="s">
        <v>239</v>
      </c>
    </row>
    <row r="633" spans="1:16" ht="15">
      <c r="A633" s="174"/>
      <c r="B633" s="170" t="s">
        <v>1721</v>
      </c>
      <c r="C633" s="170" t="s">
        <v>1722</v>
      </c>
      <c r="D633" s="169" t="s">
        <v>1830</v>
      </c>
      <c r="E633" s="175" t="s">
        <v>797</v>
      </c>
      <c r="F633" s="175" t="s">
        <v>1046</v>
      </c>
      <c r="G633" s="175" t="s">
        <v>1046</v>
      </c>
      <c r="H633" s="174" t="s">
        <v>1831</v>
      </c>
      <c r="I633" s="175" t="s">
        <v>259</v>
      </c>
      <c r="J633" s="175">
        <v>3.3</v>
      </c>
      <c r="K633" s="175" t="s">
        <v>1046</v>
      </c>
      <c r="L633" s="175" t="s">
        <v>575</v>
      </c>
      <c r="M633" s="175" t="s">
        <v>575</v>
      </c>
      <c r="N633" s="175" t="s">
        <v>575</v>
      </c>
      <c r="O633" s="175" t="s">
        <v>1046</v>
      </c>
      <c r="P633" s="208" t="s">
        <v>239</v>
      </c>
    </row>
    <row r="634" spans="1:16" ht="15">
      <c r="A634" s="174"/>
      <c r="B634" s="170" t="s">
        <v>1721</v>
      </c>
      <c r="C634" s="170" t="s">
        <v>1722</v>
      </c>
      <c r="D634" s="169" t="s">
        <v>1830</v>
      </c>
      <c r="E634" s="175" t="s">
        <v>797</v>
      </c>
      <c r="F634" s="175" t="s">
        <v>1046</v>
      </c>
      <c r="G634" s="175" t="s">
        <v>1046</v>
      </c>
      <c r="H634" s="174" t="s">
        <v>1831</v>
      </c>
      <c r="I634" s="175" t="s">
        <v>756</v>
      </c>
      <c r="J634" s="175">
        <v>5.7</v>
      </c>
      <c r="K634" s="175" t="s">
        <v>1046</v>
      </c>
      <c r="L634" s="175" t="s">
        <v>575</v>
      </c>
      <c r="M634" s="175" t="s">
        <v>575</v>
      </c>
      <c r="N634" s="175" t="s">
        <v>575</v>
      </c>
      <c r="O634" s="175" t="s">
        <v>1046</v>
      </c>
      <c r="P634" s="208" t="s">
        <v>239</v>
      </c>
    </row>
    <row r="635" spans="1:16" ht="16" thickBot="1">
      <c r="A635" s="174"/>
      <c r="B635" s="170" t="s">
        <v>1721</v>
      </c>
      <c r="C635" s="170" t="s">
        <v>1722</v>
      </c>
      <c r="D635" s="169" t="s">
        <v>1830</v>
      </c>
      <c r="E635" s="175" t="s">
        <v>797</v>
      </c>
      <c r="F635" s="175" t="s">
        <v>1046</v>
      </c>
      <c r="G635" s="175" t="s">
        <v>1046</v>
      </c>
      <c r="H635" s="174" t="s">
        <v>1831</v>
      </c>
      <c r="I635" s="206" t="s">
        <v>756</v>
      </c>
      <c r="J635" s="206">
        <v>8.3000000000000007</v>
      </c>
      <c r="K635" s="206" t="s">
        <v>1046</v>
      </c>
      <c r="L635" s="206" t="s">
        <v>575</v>
      </c>
      <c r="M635" s="206" t="s">
        <v>575</v>
      </c>
      <c r="N635" s="206" t="s">
        <v>575</v>
      </c>
      <c r="O635" s="206" t="s">
        <v>1046</v>
      </c>
      <c r="P635" s="208" t="s">
        <v>239</v>
      </c>
    </row>
    <row r="636" spans="1:16" ht="16" thickBot="1">
      <c r="A636" s="35"/>
      <c r="B636" s="147"/>
      <c r="C636" s="147"/>
      <c r="D636" s="103"/>
      <c r="E636" s="74"/>
      <c r="F636" s="74"/>
      <c r="G636" s="74"/>
      <c r="H636" s="3"/>
      <c r="I636" s="245" t="s">
        <v>1826</v>
      </c>
      <c r="J636" s="247">
        <f>AVERAGE(J630:J635)</f>
        <v>5.7666666666666666</v>
      </c>
      <c r="K636" s="247">
        <f>STDEV(J630:J635)</f>
        <v>2.2366641828103453</v>
      </c>
      <c r="L636" s="247" t="s">
        <v>1826</v>
      </c>
      <c r="M636" s="247" t="s">
        <v>1826</v>
      </c>
      <c r="N636" s="247" t="s">
        <v>1826</v>
      </c>
      <c r="O636" s="248" t="s">
        <v>1046</v>
      </c>
      <c r="P636" s="107"/>
    </row>
    <row r="637" spans="1:16" ht="15">
      <c r="A637" s="35"/>
      <c r="B637" s="147"/>
      <c r="C637" s="147"/>
      <c r="D637" s="103"/>
      <c r="E637" s="74"/>
      <c r="F637" s="74"/>
      <c r="G637" s="74"/>
      <c r="H637" s="3"/>
      <c r="I637" s="4"/>
      <c r="J637" s="74"/>
      <c r="K637" s="74"/>
      <c r="L637" s="74"/>
      <c r="M637" s="74"/>
      <c r="N637" s="74"/>
      <c r="O637" s="153"/>
      <c r="P637" s="107"/>
    </row>
    <row r="638" spans="1:16" ht="15">
      <c r="A638" s="326"/>
      <c r="B638" s="327"/>
      <c r="C638" s="327"/>
      <c r="D638" s="314"/>
      <c r="E638" s="324"/>
      <c r="F638" s="324"/>
      <c r="G638" s="324"/>
      <c r="H638" s="325"/>
      <c r="I638" s="317"/>
      <c r="J638" s="324"/>
      <c r="K638" s="324"/>
      <c r="L638" s="324"/>
      <c r="M638" s="324"/>
      <c r="N638" s="324"/>
      <c r="O638" s="328"/>
      <c r="P638" s="319"/>
    </row>
    <row r="639" spans="1:16" ht="15">
      <c r="A639" s="35"/>
      <c r="B639" s="147"/>
      <c r="C639" s="147"/>
      <c r="D639" s="103"/>
      <c r="E639" s="74"/>
      <c r="F639" s="74"/>
      <c r="G639" s="74"/>
      <c r="H639" s="3"/>
      <c r="I639" s="4"/>
      <c r="J639" s="74"/>
      <c r="K639" s="74"/>
      <c r="L639" s="74"/>
      <c r="M639" s="74"/>
      <c r="N639" s="74"/>
      <c r="O639" s="153"/>
      <c r="P639" s="107"/>
    </row>
    <row r="640" spans="1:16" ht="15">
      <c r="A640" s="169" t="s">
        <v>672</v>
      </c>
      <c r="B640" s="176" t="s">
        <v>676</v>
      </c>
      <c r="C640" s="176" t="s">
        <v>862</v>
      </c>
      <c r="D640" s="169" t="s">
        <v>1830</v>
      </c>
      <c r="E640" s="173">
        <v>1990</v>
      </c>
      <c r="F640" s="175" t="s">
        <v>1046</v>
      </c>
      <c r="G640" s="175" t="s">
        <v>1046</v>
      </c>
      <c r="H640" s="174" t="s">
        <v>1831</v>
      </c>
      <c r="I640" s="175" t="s">
        <v>756</v>
      </c>
      <c r="J640" s="177">
        <v>8.0399999999999991</v>
      </c>
      <c r="K640" s="175" t="s">
        <v>1046</v>
      </c>
      <c r="L640" s="175" t="s">
        <v>1046</v>
      </c>
      <c r="M640" s="175" t="s">
        <v>1046</v>
      </c>
      <c r="N640" s="175" t="s">
        <v>1046</v>
      </c>
      <c r="O640" s="175" t="s">
        <v>1046</v>
      </c>
      <c r="P640" s="208" t="s">
        <v>240</v>
      </c>
    </row>
    <row r="641" spans="1:16" ht="15">
      <c r="A641" s="169"/>
      <c r="B641" s="176" t="s">
        <v>676</v>
      </c>
      <c r="C641" s="176" t="s">
        <v>862</v>
      </c>
      <c r="D641" s="169" t="s">
        <v>1830</v>
      </c>
      <c r="E641" s="173">
        <v>1991</v>
      </c>
      <c r="F641" s="175" t="s">
        <v>1046</v>
      </c>
      <c r="G641" s="175" t="s">
        <v>1046</v>
      </c>
      <c r="H641" s="174" t="s">
        <v>1831</v>
      </c>
      <c r="I641" s="175" t="s">
        <v>756</v>
      </c>
      <c r="J641" s="176">
        <f>AVERAGE(1.5,13)</f>
        <v>7.25</v>
      </c>
      <c r="K641" s="175" t="s">
        <v>1046</v>
      </c>
      <c r="L641" s="175" t="s">
        <v>1046</v>
      </c>
      <c r="M641" s="175" t="s">
        <v>1046</v>
      </c>
      <c r="N641" s="175" t="s">
        <v>1046</v>
      </c>
      <c r="O641" s="175" t="s">
        <v>1046</v>
      </c>
      <c r="P641" s="208" t="s">
        <v>239</v>
      </c>
    </row>
    <row r="642" spans="1:16" ht="15">
      <c r="A642" s="169"/>
      <c r="B642" s="176" t="s">
        <v>676</v>
      </c>
      <c r="C642" s="176" t="s">
        <v>862</v>
      </c>
      <c r="D642" s="169" t="s">
        <v>1830</v>
      </c>
      <c r="E642" s="173">
        <v>1992</v>
      </c>
      <c r="F642" s="175" t="s">
        <v>1046</v>
      </c>
      <c r="G642" s="175" t="s">
        <v>1046</v>
      </c>
      <c r="H642" s="174" t="s">
        <v>1831</v>
      </c>
      <c r="I642" s="175" t="s">
        <v>756</v>
      </c>
      <c r="J642" s="177">
        <v>3.46</v>
      </c>
      <c r="K642" s="175" t="s">
        <v>1046</v>
      </c>
      <c r="L642" s="175" t="s">
        <v>1046</v>
      </c>
      <c r="M642" s="175" t="s">
        <v>1046</v>
      </c>
      <c r="N642" s="175" t="s">
        <v>1046</v>
      </c>
      <c r="O642" s="175" t="s">
        <v>1046</v>
      </c>
      <c r="P642" s="208" t="s">
        <v>239</v>
      </c>
    </row>
    <row r="643" spans="1:16" ht="15">
      <c r="A643" s="169"/>
      <c r="B643" s="176" t="s">
        <v>676</v>
      </c>
      <c r="C643" s="176" t="s">
        <v>862</v>
      </c>
      <c r="D643" s="169" t="s">
        <v>1830</v>
      </c>
      <c r="E643" s="173">
        <v>1993</v>
      </c>
      <c r="F643" s="175" t="s">
        <v>1046</v>
      </c>
      <c r="G643" s="175" t="s">
        <v>1046</v>
      </c>
      <c r="H643" s="174" t="s">
        <v>1831</v>
      </c>
      <c r="I643" s="175" t="s">
        <v>756</v>
      </c>
      <c r="J643" s="177">
        <v>3.36</v>
      </c>
      <c r="K643" s="175" t="s">
        <v>1046</v>
      </c>
      <c r="L643" s="175" t="s">
        <v>1046</v>
      </c>
      <c r="M643" s="175" t="s">
        <v>1046</v>
      </c>
      <c r="N643" s="175" t="s">
        <v>1046</v>
      </c>
      <c r="O643" s="175" t="s">
        <v>1046</v>
      </c>
      <c r="P643" s="208" t="s">
        <v>239</v>
      </c>
    </row>
    <row r="644" spans="1:16" ht="15">
      <c r="A644" s="169"/>
      <c r="B644" s="176" t="s">
        <v>676</v>
      </c>
      <c r="C644" s="176" t="s">
        <v>862</v>
      </c>
      <c r="D644" s="169" t="s">
        <v>1830</v>
      </c>
      <c r="E644" s="173">
        <v>1994</v>
      </c>
      <c r="F644" s="175" t="s">
        <v>1046</v>
      </c>
      <c r="G644" s="175" t="s">
        <v>1046</v>
      </c>
      <c r="H644" s="174" t="s">
        <v>1831</v>
      </c>
      <c r="I644" s="175" t="s">
        <v>756</v>
      </c>
      <c r="J644" s="177">
        <v>3.08</v>
      </c>
      <c r="K644" s="175" t="s">
        <v>1046</v>
      </c>
      <c r="L644" s="175" t="s">
        <v>1046</v>
      </c>
      <c r="M644" s="175" t="s">
        <v>1046</v>
      </c>
      <c r="N644" s="175" t="s">
        <v>1046</v>
      </c>
      <c r="O644" s="175" t="s">
        <v>1046</v>
      </c>
      <c r="P644" s="208" t="s">
        <v>239</v>
      </c>
    </row>
    <row r="645" spans="1:16" ht="15">
      <c r="A645" s="169"/>
      <c r="B645" s="176" t="s">
        <v>676</v>
      </c>
      <c r="C645" s="176" t="s">
        <v>862</v>
      </c>
      <c r="D645" s="169" t="s">
        <v>1830</v>
      </c>
      <c r="E645" s="173">
        <v>1990</v>
      </c>
      <c r="F645" s="175" t="s">
        <v>1046</v>
      </c>
      <c r="G645" s="175" t="s">
        <v>1046</v>
      </c>
      <c r="H645" s="174" t="s">
        <v>1831</v>
      </c>
      <c r="I645" s="175" t="s">
        <v>756</v>
      </c>
      <c r="J645" s="177">
        <v>2.64</v>
      </c>
      <c r="K645" s="175" t="s">
        <v>1046</v>
      </c>
      <c r="L645" s="175" t="s">
        <v>1046</v>
      </c>
      <c r="M645" s="175" t="s">
        <v>1046</v>
      </c>
      <c r="N645" s="175" t="s">
        <v>1046</v>
      </c>
      <c r="O645" s="175" t="s">
        <v>1046</v>
      </c>
      <c r="P645" s="208" t="s">
        <v>239</v>
      </c>
    </row>
    <row r="646" spans="1:16" ht="15">
      <c r="A646" s="169"/>
      <c r="B646" s="176" t="s">
        <v>676</v>
      </c>
      <c r="C646" s="176" t="s">
        <v>862</v>
      </c>
      <c r="D646" s="169" t="s">
        <v>1830</v>
      </c>
      <c r="E646" s="173">
        <v>1991</v>
      </c>
      <c r="F646" s="175" t="s">
        <v>1046</v>
      </c>
      <c r="G646" s="175" t="s">
        <v>1046</v>
      </c>
      <c r="H646" s="174" t="s">
        <v>1831</v>
      </c>
      <c r="I646" s="175" t="s">
        <v>756</v>
      </c>
      <c r="J646" s="176">
        <v>8</v>
      </c>
      <c r="K646" s="175" t="s">
        <v>1046</v>
      </c>
      <c r="L646" s="175" t="s">
        <v>1046</v>
      </c>
      <c r="M646" s="175" t="s">
        <v>1046</v>
      </c>
      <c r="N646" s="175" t="s">
        <v>1046</v>
      </c>
      <c r="O646" s="175" t="s">
        <v>1046</v>
      </c>
      <c r="P646" s="208" t="s">
        <v>239</v>
      </c>
    </row>
    <row r="647" spans="1:16" ht="15">
      <c r="A647" s="169"/>
      <c r="B647" s="176" t="s">
        <v>676</v>
      </c>
      <c r="C647" s="176" t="s">
        <v>862</v>
      </c>
      <c r="D647" s="169" t="s">
        <v>1830</v>
      </c>
      <c r="E647" s="173">
        <v>1992</v>
      </c>
      <c r="F647" s="175" t="s">
        <v>1046</v>
      </c>
      <c r="G647" s="175" t="s">
        <v>1046</v>
      </c>
      <c r="H647" s="174" t="s">
        <v>1831</v>
      </c>
      <c r="I647" s="175" t="s">
        <v>756</v>
      </c>
      <c r="J647" s="176">
        <f>AVERAGE(2,10)</f>
        <v>6</v>
      </c>
      <c r="K647" s="175" t="s">
        <v>1046</v>
      </c>
      <c r="L647" s="175" t="s">
        <v>1046</v>
      </c>
      <c r="M647" s="175" t="s">
        <v>1046</v>
      </c>
      <c r="N647" s="175" t="s">
        <v>1046</v>
      </c>
      <c r="O647" s="175" t="s">
        <v>1046</v>
      </c>
      <c r="P647" s="208" t="s">
        <v>239</v>
      </c>
    </row>
    <row r="648" spans="1:16" ht="15">
      <c r="A648" s="169"/>
      <c r="B648" s="176" t="s">
        <v>676</v>
      </c>
      <c r="C648" s="176" t="s">
        <v>862</v>
      </c>
      <c r="D648" s="169" t="s">
        <v>1830</v>
      </c>
      <c r="E648" s="173">
        <v>1993</v>
      </c>
      <c r="F648" s="175" t="s">
        <v>1046</v>
      </c>
      <c r="G648" s="175" t="s">
        <v>1046</v>
      </c>
      <c r="H648" s="174" t="s">
        <v>1831</v>
      </c>
      <c r="I648" s="175" t="s">
        <v>135</v>
      </c>
      <c r="J648" s="177">
        <v>4.99</v>
      </c>
      <c r="K648" s="175" t="s">
        <v>1046</v>
      </c>
      <c r="L648" s="175" t="s">
        <v>1046</v>
      </c>
      <c r="M648" s="175" t="s">
        <v>1046</v>
      </c>
      <c r="N648" s="175" t="s">
        <v>1046</v>
      </c>
      <c r="O648" s="175" t="s">
        <v>1046</v>
      </c>
      <c r="P648" s="208" t="s">
        <v>239</v>
      </c>
    </row>
    <row r="649" spans="1:16" ht="16" thickBot="1">
      <c r="A649" s="169"/>
      <c r="B649" s="176" t="s">
        <v>676</v>
      </c>
      <c r="C649" s="176" t="s">
        <v>862</v>
      </c>
      <c r="D649" s="169" t="s">
        <v>1830</v>
      </c>
      <c r="E649" s="173">
        <v>1994</v>
      </c>
      <c r="F649" s="175" t="s">
        <v>1046</v>
      </c>
      <c r="G649" s="175" t="s">
        <v>1046</v>
      </c>
      <c r="H649" s="174" t="s">
        <v>1831</v>
      </c>
      <c r="I649" s="206" t="s">
        <v>756</v>
      </c>
      <c r="J649" s="209">
        <v>3.24</v>
      </c>
      <c r="K649" s="206" t="s">
        <v>1046</v>
      </c>
      <c r="L649" s="206" t="s">
        <v>1046</v>
      </c>
      <c r="M649" s="206" t="s">
        <v>1046</v>
      </c>
      <c r="N649" s="206" t="s">
        <v>1046</v>
      </c>
      <c r="O649" s="206" t="s">
        <v>1046</v>
      </c>
      <c r="P649" s="208" t="s">
        <v>239</v>
      </c>
    </row>
    <row r="650" spans="1:16" ht="16" thickBot="1">
      <c r="A650" s="150"/>
      <c r="B650" s="104"/>
      <c r="C650" s="104"/>
      <c r="D650" s="103"/>
      <c r="E650" s="105"/>
      <c r="F650" s="74"/>
      <c r="G650" s="74"/>
      <c r="H650" s="3"/>
      <c r="I650" s="245" t="s">
        <v>1826</v>
      </c>
      <c r="J650" s="246">
        <f>AVERAGE(J640:J649)</f>
        <v>5.0060000000000002</v>
      </c>
      <c r="K650" s="247">
        <f>STDEV(J640:J649)</f>
        <v>2.1529989420444315</v>
      </c>
      <c r="L650" s="247" t="s">
        <v>1826</v>
      </c>
      <c r="M650" s="247" t="s">
        <v>1826</v>
      </c>
      <c r="N650" s="247" t="s">
        <v>1826</v>
      </c>
      <c r="O650" s="248" t="s">
        <v>1826</v>
      </c>
      <c r="P650" s="107"/>
    </row>
    <row r="651" spans="1:16" ht="15">
      <c r="A651" s="150"/>
      <c r="B651" s="104"/>
      <c r="C651" s="104"/>
      <c r="D651" s="103"/>
      <c r="E651" s="105"/>
      <c r="F651" s="74"/>
      <c r="G651" s="74"/>
      <c r="H651" s="3"/>
      <c r="I651" s="4"/>
      <c r="J651" s="154"/>
      <c r="K651" s="74"/>
      <c r="L651" s="74"/>
      <c r="M651" s="74"/>
      <c r="N651" s="74"/>
      <c r="O651" s="74"/>
      <c r="P651" s="107"/>
    </row>
    <row r="652" spans="1:16" ht="15">
      <c r="A652" s="312"/>
      <c r="B652" s="313"/>
      <c r="C652" s="313"/>
      <c r="D652" s="314"/>
      <c r="E652" s="318"/>
      <c r="F652" s="324"/>
      <c r="G652" s="324"/>
      <c r="H652" s="325"/>
      <c r="I652" s="317"/>
      <c r="J652" s="320"/>
      <c r="K652" s="324"/>
      <c r="L652" s="324"/>
      <c r="M652" s="324"/>
      <c r="N652" s="324"/>
      <c r="O652" s="324"/>
      <c r="P652" s="319"/>
    </row>
    <row r="653" spans="1:16" ht="15">
      <c r="A653" s="150"/>
      <c r="B653" s="104"/>
      <c r="C653" s="104"/>
      <c r="D653" s="103"/>
      <c r="E653" s="105"/>
      <c r="F653" s="74"/>
      <c r="G653" s="74"/>
      <c r="H653" s="3"/>
      <c r="I653" s="4"/>
      <c r="J653" s="154"/>
      <c r="K653" s="74"/>
      <c r="L653" s="74"/>
      <c r="M653" s="74"/>
      <c r="N653" s="74"/>
      <c r="O653" s="74"/>
      <c r="P653" s="107"/>
    </row>
    <row r="654" spans="1:16" ht="15">
      <c r="A654" s="169" t="s">
        <v>863</v>
      </c>
      <c r="B654" s="176" t="s">
        <v>733</v>
      </c>
      <c r="C654" s="176" t="s">
        <v>492</v>
      </c>
      <c r="D654" s="169" t="s">
        <v>438</v>
      </c>
      <c r="E654" s="173" t="s">
        <v>1682</v>
      </c>
      <c r="F654" s="173" t="s">
        <v>1682</v>
      </c>
      <c r="G654" s="173" t="s">
        <v>1682</v>
      </c>
      <c r="H654" s="205" t="s">
        <v>439</v>
      </c>
      <c r="I654" s="175" t="s">
        <v>756</v>
      </c>
      <c r="J654" s="176">
        <v>34.6</v>
      </c>
      <c r="K654" s="173" t="s">
        <v>1682</v>
      </c>
      <c r="L654" s="173" t="s">
        <v>1682</v>
      </c>
      <c r="M654" s="173" t="s">
        <v>1682</v>
      </c>
      <c r="N654" s="173" t="s">
        <v>1682</v>
      </c>
      <c r="O654" s="173" t="s">
        <v>1682</v>
      </c>
      <c r="P654" s="208" t="s">
        <v>241</v>
      </c>
    </row>
    <row r="655" spans="1:16" ht="15">
      <c r="A655" s="169" t="s">
        <v>404</v>
      </c>
      <c r="B655" s="176" t="s">
        <v>405</v>
      </c>
      <c r="C655" s="176" t="s">
        <v>406</v>
      </c>
      <c r="D655" s="169" t="s">
        <v>438</v>
      </c>
      <c r="E655" s="173" t="s">
        <v>1682</v>
      </c>
      <c r="F655" s="173" t="s">
        <v>1682</v>
      </c>
      <c r="G655" s="173" t="s">
        <v>1682</v>
      </c>
      <c r="H655" s="205" t="s">
        <v>439</v>
      </c>
      <c r="I655" s="175" t="s">
        <v>756</v>
      </c>
      <c r="J655" s="176">
        <v>28.4</v>
      </c>
      <c r="K655" s="173" t="s">
        <v>418</v>
      </c>
      <c r="L655" s="173" t="s">
        <v>236</v>
      </c>
      <c r="M655" s="173" t="s">
        <v>236</v>
      </c>
      <c r="N655" s="173" t="s">
        <v>236</v>
      </c>
      <c r="O655" s="173" t="s">
        <v>236</v>
      </c>
      <c r="P655" s="208" t="s">
        <v>93</v>
      </c>
    </row>
    <row r="656" spans="1:16" ht="15">
      <c r="A656" s="169" t="s">
        <v>404</v>
      </c>
      <c r="B656" s="176" t="s">
        <v>405</v>
      </c>
      <c r="C656" s="176" t="s">
        <v>406</v>
      </c>
      <c r="D656" s="169" t="s">
        <v>438</v>
      </c>
      <c r="E656" s="173" t="s">
        <v>1682</v>
      </c>
      <c r="F656" s="173" t="s">
        <v>1682</v>
      </c>
      <c r="G656" s="173" t="s">
        <v>1682</v>
      </c>
      <c r="H656" s="205" t="s">
        <v>439</v>
      </c>
      <c r="I656" s="175" t="s">
        <v>756</v>
      </c>
      <c r="J656" s="176">
        <v>14.5</v>
      </c>
      <c r="K656" s="173" t="s">
        <v>236</v>
      </c>
      <c r="L656" s="173" t="s">
        <v>236</v>
      </c>
      <c r="M656" s="173" t="s">
        <v>236</v>
      </c>
      <c r="N656" s="173" t="s">
        <v>236</v>
      </c>
      <c r="O656" s="173" t="s">
        <v>236</v>
      </c>
      <c r="P656" s="208" t="s">
        <v>391</v>
      </c>
    </row>
    <row r="657" spans="1:16" ht="16" thickBot="1">
      <c r="A657" s="169" t="s">
        <v>404</v>
      </c>
      <c r="B657" s="176" t="s">
        <v>405</v>
      </c>
      <c r="C657" s="176" t="s">
        <v>406</v>
      </c>
      <c r="D657" s="169" t="s">
        <v>438</v>
      </c>
      <c r="E657" s="173" t="s">
        <v>1682</v>
      </c>
      <c r="F657" s="173" t="s">
        <v>1682</v>
      </c>
      <c r="G657" s="173" t="s">
        <v>1682</v>
      </c>
      <c r="H657" s="205" t="s">
        <v>439</v>
      </c>
      <c r="I657" s="206" t="s">
        <v>756</v>
      </c>
      <c r="J657" s="224">
        <v>8</v>
      </c>
      <c r="K657" s="225" t="s">
        <v>496</v>
      </c>
      <c r="L657" s="225" t="s">
        <v>496</v>
      </c>
      <c r="M657" s="225" t="s">
        <v>496</v>
      </c>
      <c r="N657" s="225" t="s">
        <v>496</v>
      </c>
      <c r="O657" s="225" t="s">
        <v>496</v>
      </c>
      <c r="P657" s="208" t="s">
        <v>499</v>
      </c>
    </row>
    <row r="658" spans="1:16" ht="16" thickBot="1">
      <c r="A658" s="150"/>
      <c r="B658" s="104"/>
      <c r="C658" s="104"/>
      <c r="D658" s="103"/>
      <c r="E658" s="105"/>
      <c r="F658" s="105"/>
      <c r="G658" s="105"/>
      <c r="H658" s="106"/>
      <c r="I658" s="226" t="s">
        <v>756</v>
      </c>
      <c r="J658" s="227">
        <f>AVERAGE(J654:J657)</f>
        <v>21.375</v>
      </c>
      <c r="K658" s="228">
        <f>STDEV(J654:J657)</f>
        <v>12.252992831685384</v>
      </c>
      <c r="L658" s="228" t="s">
        <v>756</v>
      </c>
      <c r="M658" s="228" t="s">
        <v>756</v>
      </c>
      <c r="N658" s="228" t="s">
        <v>755</v>
      </c>
      <c r="O658" s="229" t="s">
        <v>756</v>
      </c>
      <c r="P658" s="107"/>
    </row>
    <row r="659" spans="1:16" ht="15">
      <c r="A659" s="150"/>
      <c r="B659" s="104"/>
      <c r="C659" s="104"/>
      <c r="D659" s="103"/>
      <c r="E659" s="105"/>
      <c r="F659" s="105"/>
      <c r="G659" s="105"/>
      <c r="H659" s="106"/>
      <c r="J659" s="104"/>
      <c r="K659" s="105"/>
      <c r="L659" s="105"/>
      <c r="M659" s="105"/>
      <c r="N659" s="105"/>
      <c r="O659" s="105"/>
      <c r="P659" s="107"/>
    </row>
    <row r="660" spans="1:16" ht="15">
      <c r="A660" s="312"/>
      <c r="B660" s="313"/>
      <c r="C660" s="313"/>
      <c r="D660" s="314"/>
      <c r="E660" s="318"/>
      <c r="F660" s="318"/>
      <c r="G660" s="318"/>
      <c r="H660" s="316"/>
      <c r="I660" s="321"/>
      <c r="J660" s="313"/>
      <c r="K660" s="318"/>
      <c r="L660" s="318"/>
      <c r="M660" s="318"/>
      <c r="N660" s="318"/>
      <c r="O660" s="318"/>
      <c r="P660" s="319"/>
    </row>
    <row r="661" spans="1:16" ht="15">
      <c r="A661" s="150"/>
      <c r="B661" s="104"/>
      <c r="C661" s="104"/>
      <c r="D661" s="103"/>
      <c r="E661" s="105"/>
      <c r="F661" s="105"/>
      <c r="G661" s="105"/>
      <c r="H661" s="106"/>
      <c r="J661" s="104"/>
      <c r="K661" s="105"/>
      <c r="L661" s="105"/>
      <c r="M661" s="105"/>
      <c r="N661" s="105"/>
      <c r="O661" s="105"/>
      <c r="P661" s="107"/>
    </row>
    <row r="662" spans="1:16" ht="15">
      <c r="A662" s="169" t="s">
        <v>407</v>
      </c>
      <c r="B662" s="176" t="s">
        <v>408</v>
      </c>
      <c r="C662" s="176" t="s">
        <v>409</v>
      </c>
      <c r="D662" s="169" t="s">
        <v>568</v>
      </c>
      <c r="E662" s="173" t="s">
        <v>1682</v>
      </c>
      <c r="F662" s="173" t="s">
        <v>1682</v>
      </c>
      <c r="G662" s="173" t="s">
        <v>1682</v>
      </c>
      <c r="H662" s="205" t="s">
        <v>439</v>
      </c>
      <c r="I662" s="175" t="s">
        <v>756</v>
      </c>
      <c r="J662" s="176">
        <v>8.6</v>
      </c>
      <c r="K662" s="173" t="s">
        <v>1682</v>
      </c>
      <c r="L662" s="173" t="s">
        <v>1682</v>
      </c>
      <c r="M662" s="173" t="s">
        <v>1682</v>
      </c>
      <c r="N662" s="173" t="s">
        <v>1682</v>
      </c>
      <c r="O662" s="173" t="s">
        <v>1682</v>
      </c>
      <c r="P662" s="208" t="s">
        <v>348</v>
      </c>
    </row>
    <row r="663" spans="1:16" ht="16" thickBot="1">
      <c r="A663" s="169" t="s">
        <v>407</v>
      </c>
      <c r="B663" s="176" t="s">
        <v>408</v>
      </c>
      <c r="C663" s="176" t="s">
        <v>409</v>
      </c>
      <c r="D663" s="169" t="s">
        <v>568</v>
      </c>
      <c r="E663" s="173" t="s">
        <v>1682</v>
      </c>
      <c r="F663" s="173" t="s">
        <v>1682</v>
      </c>
      <c r="G663" s="173" t="s">
        <v>1682</v>
      </c>
      <c r="H663" s="205" t="s">
        <v>439</v>
      </c>
      <c r="I663" s="206" t="s">
        <v>756</v>
      </c>
      <c r="J663" s="224">
        <v>1.7</v>
      </c>
      <c r="K663" s="225" t="s">
        <v>1682</v>
      </c>
      <c r="L663" s="225" t="s">
        <v>1682</v>
      </c>
      <c r="M663" s="225" t="s">
        <v>1682</v>
      </c>
      <c r="N663" s="225" t="s">
        <v>1682</v>
      </c>
      <c r="O663" s="225" t="s">
        <v>1682</v>
      </c>
      <c r="P663" s="208" t="s">
        <v>332</v>
      </c>
    </row>
    <row r="664" spans="1:16" ht="16" thickBot="1">
      <c r="A664" s="150"/>
      <c r="B664" s="104"/>
      <c r="C664" s="104"/>
      <c r="D664" s="103"/>
      <c r="E664" s="105"/>
      <c r="F664" s="105"/>
      <c r="G664" s="105"/>
      <c r="H664" s="106"/>
      <c r="I664" s="226" t="s">
        <v>756</v>
      </c>
      <c r="J664" s="227">
        <f>AVERAGE(J662:J663)</f>
        <v>5.1499999999999995</v>
      </c>
      <c r="K664" s="228" t="s">
        <v>1682</v>
      </c>
      <c r="L664" s="228" t="s">
        <v>1682</v>
      </c>
      <c r="M664" s="228" t="s">
        <v>1682</v>
      </c>
      <c r="N664" s="228" t="s">
        <v>1682</v>
      </c>
      <c r="O664" s="229" t="s">
        <v>1682</v>
      </c>
      <c r="P664" s="107"/>
    </row>
    <row r="665" spans="1:16" ht="15">
      <c r="A665" s="150"/>
      <c r="B665" s="104"/>
      <c r="C665" s="104"/>
      <c r="D665" s="103"/>
      <c r="E665" s="105"/>
      <c r="F665" s="105"/>
      <c r="G665" s="105"/>
      <c r="H665" s="106"/>
      <c r="J665" s="104"/>
      <c r="K665" s="105"/>
      <c r="L665" s="105"/>
      <c r="M665" s="105"/>
      <c r="N665" s="105"/>
      <c r="O665" s="105"/>
      <c r="P665" s="107"/>
    </row>
    <row r="666" spans="1:16" ht="15">
      <c r="A666" s="312"/>
      <c r="B666" s="313"/>
      <c r="C666" s="313"/>
      <c r="D666" s="314"/>
      <c r="E666" s="318"/>
      <c r="F666" s="318"/>
      <c r="G666" s="318"/>
      <c r="H666" s="316"/>
      <c r="I666" s="321"/>
      <c r="J666" s="313"/>
      <c r="K666" s="318"/>
      <c r="L666" s="318"/>
      <c r="M666" s="318"/>
      <c r="N666" s="318"/>
      <c r="O666" s="318"/>
      <c r="P666" s="319"/>
    </row>
    <row r="667" spans="1:16" ht="15">
      <c r="A667" s="150"/>
      <c r="B667" s="104"/>
      <c r="C667" s="104"/>
      <c r="D667" s="103"/>
      <c r="E667" s="105"/>
      <c r="F667" s="105"/>
      <c r="G667" s="105"/>
      <c r="H667" s="106"/>
      <c r="J667" s="104"/>
      <c r="K667" s="105"/>
      <c r="L667" s="105"/>
      <c r="M667" s="105"/>
      <c r="N667" s="105"/>
      <c r="O667" s="105"/>
      <c r="P667" s="107"/>
    </row>
    <row r="668" spans="1:16" ht="15">
      <c r="A668" s="169" t="s">
        <v>410</v>
      </c>
      <c r="B668" s="176" t="s">
        <v>312</v>
      </c>
      <c r="C668" s="176" t="s">
        <v>411</v>
      </c>
      <c r="D668" s="169" t="s">
        <v>447</v>
      </c>
      <c r="E668" s="173" t="s">
        <v>1682</v>
      </c>
      <c r="F668" s="173" t="s">
        <v>1682</v>
      </c>
      <c r="G668" s="173" t="s">
        <v>1682</v>
      </c>
      <c r="H668" s="205" t="s">
        <v>439</v>
      </c>
      <c r="I668" s="175" t="s">
        <v>756</v>
      </c>
      <c r="J668" s="176">
        <v>3.25</v>
      </c>
      <c r="K668" s="173" t="s">
        <v>1682</v>
      </c>
      <c r="L668" s="173" t="s">
        <v>1682</v>
      </c>
      <c r="M668" s="173" t="s">
        <v>1682</v>
      </c>
      <c r="N668" s="173" t="s">
        <v>1682</v>
      </c>
      <c r="O668" s="173" t="s">
        <v>1682</v>
      </c>
      <c r="P668" s="208" t="s">
        <v>333</v>
      </c>
    </row>
    <row r="669" spans="1:16" ht="15">
      <c r="A669" s="169" t="s">
        <v>410</v>
      </c>
      <c r="B669" s="176" t="s">
        <v>312</v>
      </c>
      <c r="C669" s="176" t="s">
        <v>411</v>
      </c>
      <c r="D669" s="169" t="s">
        <v>447</v>
      </c>
      <c r="E669" s="173" t="s">
        <v>1682</v>
      </c>
      <c r="F669" s="173" t="s">
        <v>1682</v>
      </c>
      <c r="G669" s="173" t="s">
        <v>1682</v>
      </c>
      <c r="H669" s="205" t="s">
        <v>439</v>
      </c>
      <c r="I669" s="175" t="s">
        <v>756</v>
      </c>
      <c r="J669" s="176">
        <v>3.06</v>
      </c>
      <c r="K669" s="173" t="s">
        <v>1682</v>
      </c>
      <c r="L669" s="173" t="s">
        <v>1682</v>
      </c>
      <c r="M669" s="173" t="s">
        <v>1682</v>
      </c>
      <c r="N669" s="173" t="s">
        <v>1682</v>
      </c>
      <c r="O669" s="173" t="s">
        <v>1682</v>
      </c>
      <c r="P669" s="208" t="s">
        <v>333</v>
      </c>
    </row>
    <row r="670" spans="1:16" ht="15">
      <c r="A670" s="169" t="s">
        <v>410</v>
      </c>
      <c r="B670" s="176" t="s">
        <v>312</v>
      </c>
      <c r="C670" s="176" t="s">
        <v>411</v>
      </c>
      <c r="D670" s="169" t="s">
        <v>447</v>
      </c>
      <c r="E670" s="173" t="s">
        <v>1682</v>
      </c>
      <c r="F670" s="173" t="s">
        <v>1682</v>
      </c>
      <c r="G670" s="173" t="s">
        <v>1682</v>
      </c>
      <c r="H670" s="205" t="s">
        <v>439</v>
      </c>
      <c r="I670" s="175" t="s">
        <v>756</v>
      </c>
      <c r="J670" s="176">
        <v>2.99</v>
      </c>
      <c r="K670" s="173" t="s">
        <v>1682</v>
      </c>
      <c r="L670" s="173" t="s">
        <v>1682</v>
      </c>
      <c r="M670" s="173" t="s">
        <v>1682</v>
      </c>
      <c r="N670" s="173" t="s">
        <v>1682</v>
      </c>
      <c r="O670" s="173" t="s">
        <v>1682</v>
      </c>
      <c r="P670" s="208" t="s">
        <v>333</v>
      </c>
    </row>
    <row r="671" spans="1:16" ht="15">
      <c r="A671" s="169" t="s">
        <v>410</v>
      </c>
      <c r="B671" s="176" t="s">
        <v>312</v>
      </c>
      <c r="C671" s="176" t="s">
        <v>411</v>
      </c>
      <c r="D671" s="169" t="s">
        <v>447</v>
      </c>
      <c r="E671" s="173" t="s">
        <v>1682</v>
      </c>
      <c r="F671" s="173" t="s">
        <v>1682</v>
      </c>
      <c r="G671" s="173" t="s">
        <v>1682</v>
      </c>
      <c r="H671" s="205" t="s">
        <v>439</v>
      </c>
      <c r="I671" s="175" t="s">
        <v>756</v>
      </c>
      <c r="J671" s="176">
        <v>2.63</v>
      </c>
      <c r="K671" s="173" t="s">
        <v>1682</v>
      </c>
      <c r="L671" s="173" t="s">
        <v>1682</v>
      </c>
      <c r="M671" s="173" t="s">
        <v>1682</v>
      </c>
      <c r="N671" s="173" t="s">
        <v>1682</v>
      </c>
      <c r="O671" s="173" t="s">
        <v>1682</v>
      </c>
      <c r="P671" s="208" t="s">
        <v>334</v>
      </c>
    </row>
    <row r="672" spans="1:16" ht="15">
      <c r="A672" s="169" t="s">
        <v>410</v>
      </c>
      <c r="B672" s="176" t="s">
        <v>312</v>
      </c>
      <c r="C672" s="176" t="s">
        <v>411</v>
      </c>
      <c r="D672" s="169" t="s">
        <v>447</v>
      </c>
      <c r="E672" s="173" t="s">
        <v>1682</v>
      </c>
      <c r="F672" s="173" t="s">
        <v>1682</v>
      </c>
      <c r="G672" s="173" t="s">
        <v>1682</v>
      </c>
      <c r="H672" s="205" t="s">
        <v>439</v>
      </c>
      <c r="I672" s="175" t="s">
        <v>756</v>
      </c>
      <c r="J672" s="176">
        <v>2.2000000000000002</v>
      </c>
      <c r="K672" s="173" t="s">
        <v>1682</v>
      </c>
      <c r="L672" s="173" t="s">
        <v>1682</v>
      </c>
      <c r="M672" s="173" t="s">
        <v>1682</v>
      </c>
      <c r="N672" s="173" t="s">
        <v>1682</v>
      </c>
      <c r="O672" s="173" t="s">
        <v>1682</v>
      </c>
      <c r="P672" s="208" t="s">
        <v>333</v>
      </c>
    </row>
    <row r="673" spans="1:16" ht="15">
      <c r="A673" s="169" t="s">
        <v>410</v>
      </c>
      <c r="B673" s="176" t="s">
        <v>312</v>
      </c>
      <c r="C673" s="176" t="s">
        <v>411</v>
      </c>
      <c r="D673" s="169" t="s">
        <v>447</v>
      </c>
      <c r="E673" s="173" t="s">
        <v>1682</v>
      </c>
      <c r="F673" s="173" t="s">
        <v>1682</v>
      </c>
      <c r="G673" s="173" t="s">
        <v>1682</v>
      </c>
      <c r="H673" s="205" t="s">
        <v>439</v>
      </c>
      <c r="I673" s="175" t="s">
        <v>756</v>
      </c>
      <c r="J673" s="176">
        <v>2.19</v>
      </c>
      <c r="K673" s="173" t="s">
        <v>1682</v>
      </c>
      <c r="L673" s="173" t="s">
        <v>1682</v>
      </c>
      <c r="M673" s="173" t="s">
        <v>1682</v>
      </c>
      <c r="N673" s="173" t="s">
        <v>1682</v>
      </c>
      <c r="O673" s="173" t="s">
        <v>1682</v>
      </c>
      <c r="P673" s="208" t="s">
        <v>333</v>
      </c>
    </row>
    <row r="674" spans="1:16" ht="15">
      <c r="A674" s="169" t="s">
        <v>410</v>
      </c>
      <c r="B674" s="176" t="s">
        <v>312</v>
      </c>
      <c r="C674" s="176" t="s">
        <v>411</v>
      </c>
      <c r="D674" s="169" t="s">
        <v>447</v>
      </c>
      <c r="E674" s="173" t="s">
        <v>1682</v>
      </c>
      <c r="F674" s="173" t="s">
        <v>1682</v>
      </c>
      <c r="G674" s="173" t="s">
        <v>1682</v>
      </c>
      <c r="H674" s="205" t="s">
        <v>439</v>
      </c>
      <c r="I674" s="175" t="s">
        <v>756</v>
      </c>
      <c r="J674" s="176">
        <v>1.96</v>
      </c>
      <c r="K674" s="173" t="s">
        <v>1682</v>
      </c>
      <c r="L674" s="173" t="s">
        <v>1682</v>
      </c>
      <c r="M674" s="173" t="s">
        <v>1682</v>
      </c>
      <c r="N674" s="173" t="s">
        <v>1682</v>
      </c>
      <c r="O674" s="173" t="s">
        <v>1682</v>
      </c>
      <c r="P674" s="208" t="s">
        <v>333</v>
      </c>
    </row>
    <row r="675" spans="1:16" ht="15">
      <c r="A675" s="169" t="s">
        <v>410</v>
      </c>
      <c r="B675" s="176" t="s">
        <v>312</v>
      </c>
      <c r="C675" s="176" t="s">
        <v>411</v>
      </c>
      <c r="D675" s="169" t="s">
        <v>447</v>
      </c>
      <c r="E675" s="173" t="s">
        <v>1682</v>
      </c>
      <c r="F675" s="173" t="s">
        <v>1682</v>
      </c>
      <c r="G675" s="173" t="s">
        <v>1682</v>
      </c>
      <c r="H675" s="205" t="s">
        <v>439</v>
      </c>
      <c r="I675" s="175" t="s">
        <v>756</v>
      </c>
      <c r="J675" s="176">
        <v>1.91</v>
      </c>
      <c r="K675" s="173" t="s">
        <v>1682</v>
      </c>
      <c r="L675" s="173" t="s">
        <v>1682</v>
      </c>
      <c r="M675" s="173" t="s">
        <v>1682</v>
      </c>
      <c r="N675" s="173" t="s">
        <v>1682</v>
      </c>
      <c r="O675" s="173" t="s">
        <v>1682</v>
      </c>
      <c r="P675" s="208" t="s">
        <v>334</v>
      </c>
    </row>
    <row r="676" spans="1:16" ht="15">
      <c r="A676" s="169" t="s">
        <v>410</v>
      </c>
      <c r="B676" s="176" t="s">
        <v>312</v>
      </c>
      <c r="C676" s="176" t="s">
        <v>411</v>
      </c>
      <c r="D676" s="169" t="s">
        <v>447</v>
      </c>
      <c r="E676" s="173" t="s">
        <v>1682</v>
      </c>
      <c r="F676" s="173" t="s">
        <v>1682</v>
      </c>
      <c r="G676" s="173" t="s">
        <v>1682</v>
      </c>
      <c r="H676" s="205" t="s">
        <v>439</v>
      </c>
      <c r="I676" s="175" t="s">
        <v>756</v>
      </c>
      <c r="J676" s="176">
        <v>1.47</v>
      </c>
      <c r="K676" s="173" t="s">
        <v>1682</v>
      </c>
      <c r="L676" s="173" t="s">
        <v>1682</v>
      </c>
      <c r="M676" s="173" t="s">
        <v>1682</v>
      </c>
      <c r="N676" s="173" t="s">
        <v>1682</v>
      </c>
      <c r="O676" s="173" t="s">
        <v>1682</v>
      </c>
      <c r="P676" s="208" t="s">
        <v>334</v>
      </c>
    </row>
    <row r="677" spans="1:16" ht="15">
      <c r="A677" s="169" t="s">
        <v>410</v>
      </c>
      <c r="B677" s="176" t="s">
        <v>312</v>
      </c>
      <c r="C677" s="176" t="s">
        <v>411</v>
      </c>
      <c r="D677" s="169" t="s">
        <v>447</v>
      </c>
      <c r="E677" s="173" t="s">
        <v>1682</v>
      </c>
      <c r="F677" s="173" t="s">
        <v>1682</v>
      </c>
      <c r="G677" s="173" t="s">
        <v>1682</v>
      </c>
      <c r="H677" s="205" t="s">
        <v>439</v>
      </c>
      <c r="I677" s="175" t="s">
        <v>756</v>
      </c>
      <c r="J677" s="176">
        <v>1.31</v>
      </c>
      <c r="K677" s="173" t="s">
        <v>1682</v>
      </c>
      <c r="L677" s="173" t="s">
        <v>1682</v>
      </c>
      <c r="M677" s="173" t="s">
        <v>1682</v>
      </c>
      <c r="N677" s="173" t="s">
        <v>1682</v>
      </c>
      <c r="O677" s="173" t="s">
        <v>1682</v>
      </c>
      <c r="P677" s="208" t="s">
        <v>334</v>
      </c>
    </row>
    <row r="678" spans="1:16" ht="15">
      <c r="A678" s="169" t="s">
        <v>410</v>
      </c>
      <c r="B678" s="176" t="s">
        <v>312</v>
      </c>
      <c r="C678" s="176" t="s">
        <v>411</v>
      </c>
      <c r="D678" s="169" t="s">
        <v>447</v>
      </c>
      <c r="E678" s="173" t="s">
        <v>1682</v>
      </c>
      <c r="F678" s="173" t="s">
        <v>1682</v>
      </c>
      <c r="G678" s="173" t="s">
        <v>1682</v>
      </c>
      <c r="H678" s="205" t="s">
        <v>439</v>
      </c>
      <c r="I678" s="175" t="s">
        <v>755</v>
      </c>
      <c r="J678" s="176">
        <v>1.28</v>
      </c>
      <c r="K678" s="173" t="s">
        <v>1682</v>
      </c>
      <c r="L678" s="173" t="s">
        <v>1682</v>
      </c>
      <c r="M678" s="173" t="s">
        <v>1682</v>
      </c>
      <c r="N678" s="173" t="s">
        <v>1682</v>
      </c>
      <c r="O678" s="173" t="s">
        <v>1682</v>
      </c>
      <c r="P678" s="208" t="s">
        <v>333</v>
      </c>
    </row>
    <row r="679" spans="1:16" ht="15">
      <c r="A679" s="169" t="s">
        <v>410</v>
      </c>
      <c r="B679" s="176" t="s">
        <v>312</v>
      </c>
      <c r="C679" s="176" t="s">
        <v>411</v>
      </c>
      <c r="D679" s="169" t="s">
        <v>447</v>
      </c>
      <c r="E679" s="173" t="s">
        <v>1682</v>
      </c>
      <c r="F679" s="173" t="s">
        <v>1682</v>
      </c>
      <c r="G679" s="173" t="s">
        <v>1682</v>
      </c>
      <c r="H679" s="205" t="s">
        <v>439</v>
      </c>
      <c r="I679" s="175" t="s">
        <v>756</v>
      </c>
      <c r="J679" s="176">
        <v>1.26</v>
      </c>
      <c r="K679" s="173" t="s">
        <v>1682</v>
      </c>
      <c r="L679" s="173" t="s">
        <v>1682</v>
      </c>
      <c r="M679" s="173" t="s">
        <v>1682</v>
      </c>
      <c r="N679" s="173" t="s">
        <v>1682</v>
      </c>
      <c r="O679" s="173" t="s">
        <v>1682</v>
      </c>
      <c r="P679" s="208" t="s">
        <v>334</v>
      </c>
    </row>
    <row r="680" spans="1:16" ht="15">
      <c r="A680" s="169" t="s">
        <v>410</v>
      </c>
      <c r="B680" s="176" t="s">
        <v>312</v>
      </c>
      <c r="C680" s="176" t="s">
        <v>411</v>
      </c>
      <c r="D680" s="169" t="s">
        <v>447</v>
      </c>
      <c r="E680" s="173" t="s">
        <v>1682</v>
      </c>
      <c r="F680" s="173" t="s">
        <v>1682</v>
      </c>
      <c r="G680" s="173" t="s">
        <v>1682</v>
      </c>
      <c r="H680" s="205" t="s">
        <v>439</v>
      </c>
      <c r="I680" s="175" t="s">
        <v>756</v>
      </c>
      <c r="J680" s="176">
        <v>1.18</v>
      </c>
      <c r="K680" s="173" t="s">
        <v>1682</v>
      </c>
      <c r="L680" s="173" t="s">
        <v>1682</v>
      </c>
      <c r="M680" s="173" t="s">
        <v>1682</v>
      </c>
      <c r="N680" s="173" t="s">
        <v>1682</v>
      </c>
      <c r="O680" s="173" t="s">
        <v>1682</v>
      </c>
      <c r="P680" s="208" t="s">
        <v>334</v>
      </c>
    </row>
    <row r="681" spans="1:16" ht="16" thickBot="1">
      <c r="A681" s="169" t="s">
        <v>410</v>
      </c>
      <c r="B681" s="176" t="s">
        <v>312</v>
      </c>
      <c r="C681" s="176" t="s">
        <v>411</v>
      </c>
      <c r="D681" s="169" t="s">
        <v>447</v>
      </c>
      <c r="E681" s="173" t="s">
        <v>1682</v>
      </c>
      <c r="F681" s="173" t="s">
        <v>1682</v>
      </c>
      <c r="G681" s="173" t="s">
        <v>1682</v>
      </c>
      <c r="H681" s="205" t="s">
        <v>439</v>
      </c>
      <c r="I681" s="206" t="s">
        <v>756</v>
      </c>
      <c r="J681" s="230">
        <v>0.53</v>
      </c>
      <c r="K681" s="225" t="s">
        <v>1682</v>
      </c>
      <c r="L681" s="225" t="s">
        <v>1682</v>
      </c>
      <c r="M681" s="225" t="s">
        <v>1682</v>
      </c>
      <c r="N681" s="225" t="s">
        <v>1682</v>
      </c>
      <c r="O681" s="225" t="s">
        <v>1682</v>
      </c>
      <c r="P681" s="208" t="s">
        <v>334</v>
      </c>
    </row>
    <row r="682" spans="1:16" ht="16" thickBot="1">
      <c r="A682" s="150"/>
      <c r="B682" s="104"/>
      <c r="C682" s="104"/>
      <c r="D682" s="103"/>
      <c r="E682" s="105"/>
      <c r="F682" s="105"/>
      <c r="G682" s="105"/>
      <c r="H682" s="106"/>
      <c r="I682" s="226" t="s">
        <v>756</v>
      </c>
      <c r="J682" s="231">
        <f>AVERAGE(J668:J681)</f>
        <v>1.9442857142857144</v>
      </c>
      <c r="K682" s="228">
        <f>STDEV(J668:J681)</f>
        <v>0.82096298319730543</v>
      </c>
      <c r="L682" s="228" t="s">
        <v>1682</v>
      </c>
      <c r="M682" s="228" t="s">
        <v>1682</v>
      </c>
      <c r="N682" s="228" t="s">
        <v>1682</v>
      </c>
      <c r="O682" s="229" t="s">
        <v>1682</v>
      </c>
      <c r="P682" s="107"/>
    </row>
    <row r="683" spans="1:16" ht="15">
      <c r="A683" s="150"/>
      <c r="B683" s="104"/>
      <c r="C683" s="104"/>
      <c r="D683" s="103"/>
      <c r="E683" s="105"/>
      <c r="F683" s="105"/>
      <c r="G683" s="105"/>
      <c r="H683" s="106"/>
      <c r="J683" s="204"/>
      <c r="K683" s="105"/>
      <c r="L683" s="105"/>
      <c r="M683" s="105"/>
      <c r="N683" s="105"/>
      <c r="O683" s="105"/>
      <c r="P683" s="107"/>
    </row>
    <row r="684" spans="1:16" ht="15">
      <c r="A684" s="312"/>
      <c r="B684" s="313"/>
      <c r="C684" s="313"/>
      <c r="D684" s="314"/>
      <c r="E684" s="318"/>
      <c r="F684" s="318"/>
      <c r="G684" s="318"/>
      <c r="H684" s="316"/>
      <c r="I684" s="321"/>
      <c r="J684" s="323"/>
      <c r="K684" s="318"/>
      <c r="L684" s="318"/>
      <c r="M684" s="318"/>
      <c r="N684" s="318"/>
      <c r="O684" s="318"/>
      <c r="P684" s="319"/>
    </row>
    <row r="685" spans="1:16" ht="15">
      <c r="A685" s="150"/>
      <c r="B685" s="104"/>
      <c r="C685" s="104"/>
      <c r="D685" s="103"/>
      <c r="E685" s="105"/>
      <c r="F685" s="105"/>
      <c r="G685" s="105"/>
      <c r="H685" s="106"/>
      <c r="J685" s="204"/>
      <c r="K685" s="105"/>
      <c r="L685" s="105"/>
      <c r="M685" s="105"/>
      <c r="N685" s="105"/>
      <c r="O685" s="105"/>
      <c r="P685" s="107"/>
    </row>
    <row r="686" spans="1:16" ht="15">
      <c r="A686" s="169" t="s">
        <v>412</v>
      </c>
      <c r="B686" s="176" t="s">
        <v>413</v>
      </c>
      <c r="C686" s="176" t="s">
        <v>411</v>
      </c>
      <c r="D686" s="169" t="s">
        <v>34</v>
      </c>
      <c r="E686" s="173" t="s">
        <v>1682</v>
      </c>
      <c r="F686" s="173" t="s">
        <v>1682</v>
      </c>
      <c r="G686" s="173" t="s">
        <v>1682</v>
      </c>
      <c r="H686" s="205" t="s">
        <v>439</v>
      </c>
      <c r="I686" s="175" t="s">
        <v>136</v>
      </c>
      <c r="J686" s="176">
        <v>8.8000000000000007</v>
      </c>
      <c r="K686" s="173" t="s">
        <v>1682</v>
      </c>
      <c r="L686" s="173" t="s">
        <v>1682</v>
      </c>
      <c r="M686" s="173" t="s">
        <v>1682</v>
      </c>
      <c r="N686" s="173" t="s">
        <v>1682</v>
      </c>
      <c r="O686" s="173" t="s">
        <v>1682</v>
      </c>
      <c r="P686" s="208" t="s">
        <v>532</v>
      </c>
    </row>
    <row r="687" spans="1:16" ht="15">
      <c r="A687" s="169" t="s">
        <v>412</v>
      </c>
      <c r="B687" s="176" t="s">
        <v>413</v>
      </c>
      <c r="C687" s="176" t="s">
        <v>411</v>
      </c>
      <c r="D687" s="169" t="s">
        <v>34</v>
      </c>
      <c r="E687" s="173" t="s">
        <v>1682</v>
      </c>
      <c r="F687" s="173" t="s">
        <v>1682</v>
      </c>
      <c r="G687" s="173" t="s">
        <v>1682</v>
      </c>
      <c r="H687" s="205" t="s">
        <v>439</v>
      </c>
      <c r="I687" s="175" t="s">
        <v>136</v>
      </c>
      <c r="J687" s="176">
        <v>8.11</v>
      </c>
      <c r="K687" s="173" t="s">
        <v>1682</v>
      </c>
      <c r="L687" s="173" t="s">
        <v>1682</v>
      </c>
      <c r="M687" s="173" t="s">
        <v>1682</v>
      </c>
      <c r="N687" s="173" t="s">
        <v>1682</v>
      </c>
      <c r="O687" s="173" t="s">
        <v>1682</v>
      </c>
      <c r="P687" s="208" t="s">
        <v>532</v>
      </c>
    </row>
    <row r="688" spans="1:16" ht="15">
      <c r="A688" s="169" t="s">
        <v>412</v>
      </c>
      <c r="B688" s="176" t="s">
        <v>413</v>
      </c>
      <c r="C688" s="176" t="s">
        <v>411</v>
      </c>
      <c r="D688" s="169" t="s">
        <v>34</v>
      </c>
      <c r="E688" s="173" t="s">
        <v>1682</v>
      </c>
      <c r="F688" s="173" t="s">
        <v>1682</v>
      </c>
      <c r="G688" s="173" t="s">
        <v>1682</v>
      </c>
      <c r="H688" s="205" t="s">
        <v>439</v>
      </c>
      <c r="I688" s="175" t="s">
        <v>136</v>
      </c>
      <c r="J688" s="176">
        <v>7.52</v>
      </c>
      <c r="K688" s="173" t="s">
        <v>1682</v>
      </c>
      <c r="L688" s="173" t="s">
        <v>1682</v>
      </c>
      <c r="M688" s="173" t="s">
        <v>1682</v>
      </c>
      <c r="N688" s="173" t="s">
        <v>1682</v>
      </c>
      <c r="O688" s="173" t="s">
        <v>1682</v>
      </c>
      <c r="P688" s="208" t="s">
        <v>532</v>
      </c>
    </row>
    <row r="689" spans="1:16" ht="16" thickBot="1">
      <c r="A689" s="169" t="s">
        <v>412</v>
      </c>
      <c r="B689" s="176" t="s">
        <v>413</v>
      </c>
      <c r="C689" s="176" t="s">
        <v>411</v>
      </c>
      <c r="D689" s="169" t="s">
        <v>34</v>
      </c>
      <c r="E689" s="173" t="s">
        <v>1682</v>
      </c>
      <c r="F689" s="173" t="s">
        <v>1682</v>
      </c>
      <c r="G689" s="173" t="s">
        <v>1682</v>
      </c>
      <c r="H689" s="205" t="s">
        <v>439</v>
      </c>
      <c r="I689" s="206" t="s">
        <v>136</v>
      </c>
      <c r="J689" s="224">
        <v>6.99</v>
      </c>
      <c r="K689" s="225" t="s">
        <v>1682</v>
      </c>
      <c r="L689" s="225" t="s">
        <v>1682</v>
      </c>
      <c r="M689" s="225" t="s">
        <v>1682</v>
      </c>
      <c r="N689" s="225" t="s">
        <v>1682</v>
      </c>
      <c r="O689" s="225" t="s">
        <v>1682</v>
      </c>
      <c r="P689" s="208" t="s">
        <v>532</v>
      </c>
    </row>
    <row r="690" spans="1:16" ht="16" thickBot="1">
      <c r="A690" s="103"/>
      <c r="B690" s="104"/>
      <c r="C690" s="104"/>
      <c r="D690" s="103"/>
      <c r="E690" s="105"/>
      <c r="F690" s="105"/>
      <c r="G690" s="105"/>
      <c r="H690" s="106"/>
      <c r="I690" s="226" t="s">
        <v>756</v>
      </c>
      <c r="J690" s="227">
        <f>AVERAGE(J686:J689)</f>
        <v>7.8550000000000004</v>
      </c>
      <c r="K690" s="228">
        <f>STDEV(J686:J689)</f>
        <v>0.77856705983920671</v>
      </c>
      <c r="L690" s="228" t="s">
        <v>1682</v>
      </c>
      <c r="M690" s="228" t="s">
        <v>1682</v>
      </c>
      <c r="N690" s="228" t="s">
        <v>1682</v>
      </c>
      <c r="O690" s="229" t="s">
        <v>1682</v>
      </c>
      <c r="P690" s="107"/>
    </row>
    <row r="691" spans="1:16" ht="15">
      <c r="A691" s="150"/>
      <c r="B691" s="104"/>
      <c r="C691" s="104"/>
      <c r="D691" s="103"/>
      <c r="E691" s="202"/>
      <c r="F691" s="202"/>
      <c r="G691" s="202"/>
      <c r="H691" s="106"/>
      <c r="J691" s="104"/>
      <c r="K691" s="202"/>
      <c r="L691" s="202"/>
      <c r="M691" s="202"/>
      <c r="N691" s="202"/>
      <c r="O691" s="202"/>
      <c r="P691" s="107"/>
    </row>
    <row r="692" spans="1:16" ht="15">
      <c r="A692" s="312"/>
      <c r="B692" s="313"/>
      <c r="C692" s="313"/>
      <c r="D692" s="314"/>
      <c r="E692" s="315"/>
      <c r="F692" s="315"/>
      <c r="G692" s="315"/>
      <c r="H692" s="316"/>
      <c r="I692" s="321"/>
      <c r="J692" s="313"/>
      <c r="K692" s="315"/>
      <c r="L692" s="315"/>
      <c r="M692" s="315"/>
      <c r="N692" s="315"/>
      <c r="O692" s="315"/>
      <c r="P692" s="319"/>
    </row>
    <row r="693" spans="1:16" ht="15">
      <c r="A693" s="150"/>
      <c r="B693" s="104"/>
      <c r="C693" s="104"/>
      <c r="D693" s="103"/>
      <c r="E693" s="202"/>
      <c r="F693" s="202"/>
      <c r="G693" s="202"/>
      <c r="H693" s="106"/>
      <c r="J693" s="104"/>
      <c r="K693" s="202"/>
      <c r="L693" s="202"/>
      <c r="M693" s="202"/>
      <c r="N693" s="202"/>
      <c r="O693" s="202"/>
      <c r="P693" s="107"/>
    </row>
    <row r="694" spans="1:16" ht="15">
      <c r="A694" s="169" t="s">
        <v>630</v>
      </c>
      <c r="B694" s="176" t="s">
        <v>631</v>
      </c>
      <c r="C694" s="176" t="s">
        <v>411</v>
      </c>
      <c r="D694" s="169" t="s">
        <v>583</v>
      </c>
      <c r="E694" s="173" t="s">
        <v>1682</v>
      </c>
      <c r="F694" s="173" t="s">
        <v>1682</v>
      </c>
      <c r="G694" s="173" t="s">
        <v>1682</v>
      </c>
      <c r="H694" s="205" t="s">
        <v>439</v>
      </c>
      <c r="I694" s="175" t="s">
        <v>756</v>
      </c>
      <c r="J694" s="176">
        <v>3.3820000000000001</v>
      </c>
      <c r="K694" s="173" t="s">
        <v>1682</v>
      </c>
      <c r="L694" s="173" t="s">
        <v>1682</v>
      </c>
      <c r="M694" s="173" t="s">
        <v>1682</v>
      </c>
      <c r="N694" s="173" t="s">
        <v>1682</v>
      </c>
      <c r="O694" s="173" t="s">
        <v>1682</v>
      </c>
      <c r="P694" s="208" t="s">
        <v>532</v>
      </c>
    </row>
    <row r="695" spans="1:16" ht="15">
      <c r="A695" s="169" t="s">
        <v>630</v>
      </c>
      <c r="B695" s="176" t="s">
        <v>631</v>
      </c>
      <c r="C695" s="176" t="s">
        <v>411</v>
      </c>
      <c r="D695" s="169" t="s">
        <v>583</v>
      </c>
      <c r="E695" s="173" t="s">
        <v>1682</v>
      </c>
      <c r="F695" s="173" t="s">
        <v>1682</v>
      </c>
      <c r="G695" s="173" t="s">
        <v>1682</v>
      </c>
      <c r="H695" s="205" t="s">
        <v>439</v>
      </c>
      <c r="I695" s="175" t="s">
        <v>756</v>
      </c>
      <c r="J695" s="176">
        <v>3.2040000000000002</v>
      </c>
      <c r="K695" s="173" t="s">
        <v>1682</v>
      </c>
      <c r="L695" s="173" t="s">
        <v>1682</v>
      </c>
      <c r="M695" s="173" t="s">
        <v>1682</v>
      </c>
      <c r="N695" s="173" t="s">
        <v>1682</v>
      </c>
      <c r="O695" s="173" t="s">
        <v>1682</v>
      </c>
      <c r="P695" s="208" t="s">
        <v>532</v>
      </c>
    </row>
    <row r="696" spans="1:16" ht="15">
      <c r="A696" s="169" t="s">
        <v>630</v>
      </c>
      <c r="B696" s="176" t="s">
        <v>631</v>
      </c>
      <c r="C696" s="176" t="s">
        <v>411</v>
      </c>
      <c r="D696" s="169" t="s">
        <v>583</v>
      </c>
      <c r="E696" s="173" t="s">
        <v>1682</v>
      </c>
      <c r="F696" s="173" t="s">
        <v>1682</v>
      </c>
      <c r="G696" s="173" t="s">
        <v>1682</v>
      </c>
      <c r="H696" s="205" t="s">
        <v>439</v>
      </c>
      <c r="I696" s="175" t="s">
        <v>756</v>
      </c>
      <c r="J696" s="176">
        <v>3.1539999999999999</v>
      </c>
      <c r="K696" s="173" t="s">
        <v>467</v>
      </c>
      <c r="L696" s="173" t="s">
        <v>467</v>
      </c>
      <c r="M696" s="173" t="s">
        <v>467</v>
      </c>
      <c r="N696" s="173" t="s">
        <v>467</v>
      </c>
      <c r="O696" s="173" t="s">
        <v>467</v>
      </c>
      <c r="P696" s="208" t="s">
        <v>532</v>
      </c>
    </row>
    <row r="697" spans="1:16" ht="15">
      <c r="A697" s="169" t="s">
        <v>630</v>
      </c>
      <c r="B697" s="176" t="s">
        <v>631</v>
      </c>
      <c r="C697" s="176" t="s">
        <v>411</v>
      </c>
      <c r="D697" s="169" t="s">
        <v>583</v>
      </c>
      <c r="E697" s="173" t="s">
        <v>1682</v>
      </c>
      <c r="F697" s="173" t="s">
        <v>1682</v>
      </c>
      <c r="G697" s="173" t="s">
        <v>1682</v>
      </c>
      <c r="H697" s="205" t="s">
        <v>439</v>
      </c>
      <c r="I697" s="175" t="s">
        <v>756</v>
      </c>
      <c r="J697" s="176">
        <v>2.6110000000000002</v>
      </c>
      <c r="K697" s="173" t="s">
        <v>467</v>
      </c>
      <c r="L697" s="173" t="s">
        <v>467</v>
      </c>
      <c r="M697" s="173" t="s">
        <v>467</v>
      </c>
      <c r="N697" s="173" t="s">
        <v>467</v>
      </c>
      <c r="O697" s="173" t="s">
        <v>467</v>
      </c>
      <c r="P697" s="208" t="s">
        <v>532</v>
      </c>
    </row>
    <row r="698" spans="1:16" ht="15">
      <c r="A698" s="169" t="s">
        <v>630</v>
      </c>
      <c r="B698" s="176" t="s">
        <v>631</v>
      </c>
      <c r="C698" s="176" t="s">
        <v>411</v>
      </c>
      <c r="D698" s="169" t="s">
        <v>583</v>
      </c>
      <c r="E698" s="173" t="s">
        <v>1682</v>
      </c>
      <c r="F698" s="173" t="s">
        <v>1682</v>
      </c>
      <c r="G698" s="173" t="s">
        <v>1682</v>
      </c>
      <c r="H698" s="205" t="s">
        <v>439</v>
      </c>
      <c r="I698" s="175" t="s">
        <v>259</v>
      </c>
      <c r="J698" s="176">
        <v>2.0579999999999998</v>
      </c>
      <c r="K698" s="173" t="s">
        <v>1682</v>
      </c>
      <c r="L698" s="173" t="s">
        <v>1682</v>
      </c>
      <c r="M698" s="173" t="s">
        <v>1682</v>
      </c>
      <c r="N698" s="173" t="s">
        <v>1682</v>
      </c>
      <c r="O698" s="173" t="s">
        <v>1682</v>
      </c>
      <c r="P698" s="208" t="s">
        <v>532</v>
      </c>
    </row>
    <row r="699" spans="1:16" ht="15">
      <c r="A699" s="169" t="s">
        <v>630</v>
      </c>
      <c r="B699" s="176" t="s">
        <v>631</v>
      </c>
      <c r="C699" s="176" t="s">
        <v>411</v>
      </c>
      <c r="D699" s="169" t="s">
        <v>583</v>
      </c>
      <c r="E699" s="173" t="s">
        <v>1682</v>
      </c>
      <c r="F699" s="173" t="s">
        <v>1682</v>
      </c>
      <c r="G699" s="173" t="s">
        <v>1682</v>
      </c>
      <c r="H699" s="205" t="s">
        <v>439</v>
      </c>
      <c r="I699" s="175" t="s">
        <v>373</v>
      </c>
      <c r="J699" s="176">
        <v>1.903</v>
      </c>
      <c r="K699" s="173" t="s">
        <v>1682</v>
      </c>
      <c r="L699" s="173" t="s">
        <v>1682</v>
      </c>
      <c r="M699" s="173" t="s">
        <v>1682</v>
      </c>
      <c r="N699" s="173" t="s">
        <v>1682</v>
      </c>
      <c r="O699" s="173" t="s">
        <v>1682</v>
      </c>
      <c r="P699" s="208" t="s">
        <v>532</v>
      </c>
    </row>
    <row r="700" spans="1:16" ht="15">
      <c r="A700" s="169" t="s">
        <v>630</v>
      </c>
      <c r="B700" s="176" t="s">
        <v>631</v>
      </c>
      <c r="C700" s="176" t="s">
        <v>411</v>
      </c>
      <c r="D700" s="169" t="s">
        <v>583</v>
      </c>
      <c r="E700" s="173" t="s">
        <v>1682</v>
      </c>
      <c r="F700" s="173" t="s">
        <v>1682</v>
      </c>
      <c r="G700" s="173" t="s">
        <v>1682</v>
      </c>
      <c r="H700" s="205" t="s">
        <v>439</v>
      </c>
      <c r="I700" s="175" t="s">
        <v>756</v>
      </c>
      <c r="J700" s="176">
        <v>1.8959999999999999</v>
      </c>
      <c r="K700" s="173" t="s">
        <v>1682</v>
      </c>
      <c r="L700" s="173" t="s">
        <v>1682</v>
      </c>
      <c r="M700" s="173" t="s">
        <v>1682</v>
      </c>
      <c r="N700" s="173" t="s">
        <v>1682</v>
      </c>
      <c r="O700" s="173" t="s">
        <v>1682</v>
      </c>
      <c r="P700" s="208" t="s">
        <v>532</v>
      </c>
    </row>
    <row r="701" spans="1:16" ht="15">
      <c r="A701" s="169" t="s">
        <v>630</v>
      </c>
      <c r="B701" s="176" t="s">
        <v>631</v>
      </c>
      <c r="C701" s="176" t="s">
        <v>411</v>
      </c>
      <c r="D701" s="169" t="s">
        <v>583</v>
      </c>
      <c r="E701" s="173" t="s">
        <v>1682</v>
      </c>
      <c r="F701" s="173" t="s">
        <v>1682</v>
      </c>
      <c r="G701" s="173" t="s">
        <v>1682</v>
      </c>
      <c r="H701" s="205" t="s">
        <v>439</v>
      </c>
      <c r="I701" s="175" t="s">
        <v>756</v>
      </c>
      <c r="J701" s="176">
        <v>0.81699999999999995</v>
      </c>
      <c r="K701" s="173" t="s">
        <v>1682</v>
      </c>
      <c r="L701" s="173" t="s">
        <v>1682</v>
      </c>
      <c r="M701" s="173" t="s">
        <v>1682</v>
      </c>
      <c r="N701" s="173" t="s">
        <v>1682</v>
      </c>
      <c r="O701" s="173" t="s">
        <v>1682</v>
      </c>
      <c r="P701" s="208" t="s">
        <v>532</v>
      </c>
    </row>
    <row r="702" spans="1:16" ht="16" thickBot="1">
      <c r="A702" s="169" t="s">
        <v>630</v>
      </c>
      <c r="B702" s="176" t="s">
        <v>631</v>
      </c>
      <c r="C702" s="176" t="s">
        <v>411</v>
      </c>
      <c r="D702" s="169" t="s">
        <v>583</v>
      </c>
      <c r="E702" s="173" t="s">
        <v>1682</v>
      </c>
      <c r="F702" s="173" t="s">
        <v>1682</v>
      </c>
      <c r="G702" s="173" t="s">
        <v>1682</v>
      </c>
      <c r="H702" s="205" t="s">
        <v>439</v>
      </c>
      <c r="I702" s="206" t="s">
        <v>756</v>
      </c>
      <c r="J702" s="224">
        <v>0.61299999999999999</v>
      </c>
      <c r="K702" s="225" t="s">
        <v>1682</v>
      </c>
      <c r="L702" s="225" t="s">
        <v>1682</v>
      </c>
      <c r="M702" s="225" t="s">
        <v>1682</v>
      </c>
      <c r="N702" s="225" t="s">
        <v>1682</v>
      </c>
      <c r="O702" s="225" t="s">
        <v>1682</v>
      </c>
      <c r="P702" s="208" t="s">
        <v>532</v>
      </c>
    </row>
    <row r="703" spans="1:16" ht="16" thickBot="1">
      <c r="A703" s="150"/>
      <c r="B703" s="104"/>
      <c r="C703" s="104"/>
      <c r="D703" s="103"/>
      <c r="E703" s="105"/>
      <c r="F703" s="105"/>
      <c r="G703" s="105"/>
      <c r="H703" s="106"/>
      <c r="I703" s="226" t="s">
        <v>756</v>
      </c>
      <c r="J703" s="227">
        <f>AVERAGE(J694:J702)</f>
        <v>2.1820000000000004</v>
      </c>
      <c r="K703" s="228">
        <f>STDEV(J694:J702)</f>
        <v>1.0070568504309971</v>
      </c>
      <c r="L703" s="228" t="s">
        <v>1682</v>
      </c>
      <c r="M703" s="228" t="s">
        <v>1682</v>
      </c>
      <c r="N703" s="228" t="s">
        <v>1682</v>
      </c>
      <c r="O703" s="229" t="s">
        <v>1682</v>
      </c>
      <c r="P703" s="107"/>
    </row>
    <row r="704" spans="1:16" ht="15">
      <c r="A704" s="150"/>
      <c r="B704" s="104"/>
      <c r="C704" s="104"/>
      <c r="D704" s="103"/>
      <c r="E704" s="105"/>
      <c r="F704" s="105"/>
      <c r="G704" s="105"/>
      <c r="H704" s="106"/>
      <c r="J704" s="104"/>
      <c r="K704" s="105"/>
      <c r="L704" s="105"/>
      <c r="M704" s="105"/>
      <c r="N704" s="105"/>
      <c r="O704" s="105"/>
      <c r="P704" s="107"/>
    </row>
    <row r="705" spans="1:16" ht="15">
      <c r="A705" s="312"/>
      <c r="B705" s="313"/>
      <c r="C705" s="313"/>
      <c r="D705" s="314"/>
      <c r="E705" s="318"/>
      <c r="F705" s="318"/>
      <c r="G705" s="318"/>
      <c r="H705" s="316"/>
      <c r="I705" s="321"/>
      <c r="J705" s="313"/>
      <c r="K705" s="318"/>
      <c r="L705" s="318"/>
      <c r="M705" s="318"/>
      <c r="N705" s="318"/>
      <c r="O705" s="318"/>
      <c r="P705" s="319"/>
    </row>
    <row r="706" spans="1:16" ht="15">
      <c r="A706" s="150"/>
      <c r="B706" s="104"/>
      <c r="C706" s="104"/>
      <c r="D706" s="103"/>
      <c r="E706" s="105"/>
      <c r="F706" s="105"/>
      <c r="G706" s="105"/>
      <c r="H706" s="106"/>
      <c r="J706" s="104"/>
      <c r="K706" s="105"/>
      <c r="L706" s="105"/>
      <c r="M706" s="105"/>
      <c r="N706" s="105"/>
      <c r="O706" s="105"/>
      <c r="P706" s="107"/>
    </row>
    <row r="707" spans="1:16" ht="15">
      <c r="A707" s="169" t="s">
        <v>503</v>
      </c>
      <c r="B707" s="176" t="s">
        <v>405</v>
      </c>
      <c r="C707" s="176" t="s">
        <v>534</v>
      </c>
      <c r="D707" s="169" t="s">
        <v>318</v>
      </c>
      <c r="E707" s="173" t="s">
        <v>1682</v>
      </c>
      <c r="F707" s="173" t="s">
        <v>1682</v>
      </c>
      <c r="G707" s="173" t="s">
        <v>1682</v>
      </c>
      <c r="H707" s="205" t="s">
        <v>439</v>
      </c>
      <c r="I707" s="175" t="s">
        <v>755</v>
      </c>
      <c r="J707" s="176">
        <v>17.2</v>
      </c>
      <c r="K707" s="173" t="s">
        <v>347</v>
      </c>
      <c r="L707" s="173" t="s">
        <v>347</v>
      </c>
      <c r="M707" s="173" t="s">
        <v>347</v>
      </c>
      <c r="N707" s="173" t="s">
        <v>347</v>
      </c>
      <c r="O707" s="173" t="s">
        <v>347</v>
      </c>
      <c r="P707" s="208" t="s">
        <v>374</v>
      </c>
    </row>
    <row r="708" spans="1:16" ht="15">
      <c r="A708" s="169" t="s">
        <v>503</v>
      </c>
      <c r="B708" s="176" t="s">
        <v>405</v>
      </c>
      <c r="C708" s="176" t="s">
        <v>534</v>
      </c>
      <c r="D708" s="169" t="s">
        <v>426</v>
      </c>
      <c r="E708" s="173" t="s">
        <v>1682</v>
      </c>
      <c r="F708" s="173" t="s">
        <v>1682</v>
      </c>
      <c r="G708" s="173" t="s">
        <v>1682</v>
      </c>
      <c r="H708" s="205" t="s">
        <v>439</v>
      </c>
      <c r="I708" s="175" t="s">
        <v>756</v>
      </c>
      <c r="J708" s="177">
        <v>15.4</v>
      </c>
      <c r="K708" s="173" t="s">
        <v>347</v>
      </c>
      <c r="L708" s="173" t="s">
        <v>347</v>
      </c>
      <c r="M708" s="173" t="s">
        <v>347</v>
      </c>
      <c r="N708" s="173" t="s">
        <v>347</v>
      </c>
      <c r="O708" s="173" t="s">
        <v>347</v>
      </c>
      <c r="P708" s="208" t="s">
        <v>374</v>
      </c>
    </row>
    <row r="709" spans="1:16" ht="15">
      <c r="A709" s="169" t="s">
        <v>503</v>
      </c>
      <c r="B709" s="176" t="s">
        <v>405</v>
      </c>
      <c r="C709" s="176" t="s">
        <v>534</v>
      </c>
      <c r="D709" s="169" t="s">
        <v>309</v>
      </c>
      <c r="E709" s="173" t="s">
        <v>1682</v>
      </c>
      <c r="F709" s="173" t="s">
        <v>1682</v>
      </c>
      <c r="G709" s="173" t="s">
        <v>1682</v>
      </c>
      <c r="H709" s="205" t="s">
        <v>439</v>
      </c>
      <c r="I709" s="175" t="s">
        <v>756</v>
      </c>
      <c r="J709" s="177">
        <v>12</v>
      </c>
      <c r="K709" s="173" t="s">
        <v>347</v>
      </c>
      <c r="L709" s="173" t="s">
        <v>347</v>
      </c>
      <c r="M709" s="173" t="s">
        <v>347</v>
      </c>
      <c r="N709" s="173" t="s">
        <v>347</v>
      </c>
      <c r="O709" s="173" t="s">
        <v>347</v>
      </c>
      <c r="P709" s="208" t="s">
        <v>374</v>
      </c>
    </row>
    <row r="710" spans="1:16" ht="15">
      <c r="A710" s="169" t="s">
        <v>503</v>
      </c>
      <c r="B710" s="176" t="s">
        <v>405</v>
      </c>
      <c r="C710" s="176" t="s">
        <v>534</v>
      </c>
      <c r="D710" s="169" t="s">
        <v>316</v>
      </c>
      <c r="E710" s="173" t="s">
        <v>1682</v>
      </c>
      <c r="F710" s="173" t="s">
        <v>1682</v>
      </c>
      <c r="G710" s="173" t="s">
        <v>1682</v>
      </c>
      <c r="H710" s="205" t="s">
        <v>439</v>
      </c>
      <c r="I710" s="175" t="s">
        <v>756</v>
      </c>
      <c r="J710" s="177">
        <v>11.2</v>
      </c>
      <c r="K710" s="173" t="s">
        <v>347</v>
      </c>
      <c r="L710" s="173" t="s">
        <v>347</v>
      </c>
      <c r="M710" s="173" t="s">
        <v>347</v>
      </c>
      <c r="N710" s="173" t="s">
        <v>347</v>
      </c>
      <c r="O710" s="173" t="s">
        <v>347</v>
      </c>
      <c r="P710" s="208" t="s">
        <v>374</v>
      </c>
    </row>
    <row r="711" spans="1:16" ht="15">
      <c r="A711" s="169" t="s">
        <v>2027</v>
      </c>
      <c r="B711" s="176" t="s">
        <v>405</v>
      </c>
      <c r="C711" s="176" t="s">
        <v>534</v>
      </c>
      <c r="D711" s="169" t="s">
        <v>426</v>
      </c>
      <c r="E711" s="173" t="s">
        <v>1682</v>
      </c>
      <c r="F711" s="173" t="s">
        <v>1682</v>
      </c>
      <c r="G711" s="173" t="s">
        <v>1682</v>
      </c>
      <c r="H711" s="205" t="s">
        <v>439</v>
      </c>
      <c r="I711" s="175" t="s">
        <v>756</v>
      </c>
      <c r="J711" s="177">
        <v>3.9</v>
      </c>
      <c r="K711" s="173" t="s">
        <v>347</v>
      </c>
      <c r="L711" s="173" t="s">
        <v>347</v>
      </c>
      <c r="M711" s="173" t="s">
        <v>347</v>
      </c>
      <c r="N711" s="173" t="s">
        <v>347</v>
      </c>
      <c r="O711" s="173" t="s">
        <v>347</v>
      </c>
      <c r="P711" s="208" t="s">
        <v>374</v>
      </c>
    </row>
    <row r="712" spans="1:16" ht="15">
      <c r="A712" s="169" t="s">
        <v>503</v>
      </c>
      <c r="B712" s="176" t="s">
        <v>405</v>
      </c>
      <c r="C712" s="176" t="s">
        <v>534</v>
      </c>
      <c r="D712" s="169" t="s">
        <v>316</v>
      </c>
      <c r="E712" s="173" t="s">
        <v>1682</v>
      </c>
      <c r="F712" s="173" t="s">
        <v>1682</v>
      </c>
      <c r="G712" s="173" t="s">
        <v>1682</v>
      </c>
      <c r="H712" s="205" t="s">
        <v>439</v>
      </c>
      <c r="I712" s="175" t="s">
        <v>502</v>
      </c>
      <c r="J712" s="177">
        <v>3.8</v>
      </c>
      <c r="K712" s="173" t="s">
        <v>347</v>
      </c>
      <c r="L712" s="173" t="s">
        <v>347</v>
      </c>
      <c r="M712" s="173" t="s">
        <v>347</v>
      </c>
      <c r="N712" s="173" t="s">
        <v>347</v>
      </c>
      <c r="O712" s="173" t="s">
        <v>347</v>
      </c>
      <c r="P712" s="208" t="s">
        <v>374</v>
      </c>
    </row>
    <row r="713" spans="1:16" ht="15">
      <c r="A713" s="169" t="s">
        <v>503</v>
      </c>
      <c r="B713" s="176" t="s">
        <v>405</v>
      </c>
      <c r="C713" s="176" t="s">
        <v>534</v>
      </c>
      <c r="D713" s="169" t="s">
        <v>309</v>
      </c>
      <c r="E713" s="173" t="s">
        <v>1682</v>
      </c>
      <c r="F713" s="173" t="s">
        <v>1682</v>
      </c>
      <c r="G713" s="173" t="s">
        <v>1682</v>
      </c>
      <c r="H713" s="205" t="s">
        <v>439</v>
      </c>
      <c r="I713" s="175" t="s">
        <v>756</v>
      </c>
      <c r="J713" s="177">
        <v>2.7</v>
      </c>
      <c r="K713" s="173" t="s">
        <v>347</v>
      </c>
      <c r="L713" s="173" t="s">
        <v>347</v>
      </c>
      <c r="M713" s="173" t="s">
        <v>347</v>
      </c>
      <c r="N713" s="173" t="s">
        <v>347</v>
      </c>
      <c r="O713" s="173" t="s">
        <v>347</v>
      </c>
      <c r="P713" s="208" t="s">
        <v>374</v>
      </c>
    </row>
    <row r="714" spans="1:16" ht="15">
      <c r="A714" s="169" t="s">
        <v>503</v>
      </c>
      <c r="B714" s="176" t="s">
        <v>405</v>
      </c>
      <c r="C714" s="176" t="s">
        <v>534</v>
      </c>
      <c r="D714" s="169" t="s">
        <v>318</v>
      </c>
      <c r="E714" s="173" t="s">
        <v>1682</v>
      </c>
      <c r="F714" s="173" t="s">
        <v>1682</v>
      </c>
      <c r="G714" s="173" t="s">
        <v>1682</v>
      </c>
      <c r="H714" s="205" t="s">
        <v>439</v>
      </c>
      <c r="I714" s="175" t="s">
        <v>502</v>
      </c>
      <c r="J714" s="176">
        <v>2.5</v>
      </c>
      <c r="K714" s="173" t="s">
        <v>347</v>
      </c>
      <c r="L714" s="173" t="s">
        <v>347</v>
      </c>
      <c r="M714" s="173" t="s">
        <v>347</v>
      </c>
      <c r="N714" s="173" t="s">
        <v>347</v>
      </c>
      <c r="O714" s="173" t="s">
        <v>347</v>
      </c>
      <c r="P714" s="208" t="s">
        <v>374</v>
      </c>
    </row>
    <row r="715" spans="1:16" ht="15">
      <c r="A715" s="169" t="s">
        <v>157</v>
      </c>
      <c r="B715" s="176" t="s">
        <v>405</v>
      </c>
      <c r="C715" s="176" t="s">
        <v>505</v>
      </c>
      <c r="D715" s="169" t="s">
        <v>317</v>
      </c>
      <c r="E715" s="173" t="s">
        <v>1682</v>
      </c>
      <c r="F715" s="173" t="s">
        <v>1682</v>
      </c>
      <c r="G715" s="173" t="s">
        <v>1682</v>
      </c>
      <c r="H715" s="205" t="s">
        <v>439</v>
      </c>
      <c r="I715" s="175" t="s">
        <v>502</v>
      </c>
      <c r="J715" s="176">
        <v>10.23</v>
      </c>
      <c r="K715" s="173" t="s">
        <v>347</v>
      </c>
      <c r="L715" s="173" t="s">
        <v>347</v>
      </c>
      <c r="M715" s="173" t="s">
        <v>347</v>
      </c>
      <c r="N715" s="173" t="s">
        <v>347</v>
      </c>
      <c r="O715" s="173" t="s">
        <v>347</v>
      </c>
      <c r="P715" s="208" t="s">
        <v>374</v>
      </c>
    </row>
    <row r="716" spans="1:16" ht="15">
      <c r="A716" s="169" t="s">
        <v>157</v>
      </c>
      <c r="B716" s="176" t="s">
        <v>405</v>
      </c>
      <c r="C716" s="176" t="s">
        <v>505</v>
      </c>
      <c r="D716" s="169" t="s">
        <v>317</v>
      </c>
      <c r="E716" s="173" t="s">
        <v>1682</v>
      </c>
      <c r="F716" s="173" t="s">
        <v>1682</v>
      </c>
      <c r="G716" s="173" t="s">
        <v>1682</v>
      </c>
      <c r="H716" s="205" t="s">
        <v>439</v>
      </c>
      <c r="I716" s="175" t="s">
        <v>756</v>
      </c>
      <c r="J716" s="176">
        <v>7.2</v>
      </c>
      <c r="K716" s="173" t="s">
        <v>347</v>
      </c>
      <c r="L716" s="173" t="s">
        <v>347</v>
      </c>
      <c r="M716" s="173" t="s">
        <v>347</v>
      </c>
      <c r="N716" s="173" t="s">
        <v>347</v>
      </c>
      <c r="O716" s="173" t="s">
        <v>347</v>
      </c>
      <c r="P716" s="208" t="s">
        <v>374</v>
      </c>
    </row>
    <row r="717" spans="1:16" ht="16" thickBot="1">
      <c r="A717" s="169" t="s">
        <v>157</v>
      </c>
      <c r="B717" s="176" t="s">
        <v>405</v>
      </c>
      <c r="C717" s="176" t="s">
        <v>505</v>
      </c>
      <c r="D717" s="169" t="s">
        <v>317</v>
      </c>
      <c r="E717" s="173" t="s">
        <v>1682</v>
      </c>
      <c r="F717" s="173" t="s">
        <v>1682</v>
      </c>
      <c r="G717" s="173" t="s">
        <v>1682</v>
      </c>
      <c r="H717" s="205" t="s">
        <v>439</v>
      </c>
      <c r="I717" s="206" t="s">
        <v>756</v>
      </c>
      <c r="J717" s="224">
        <v>3.4</v>
      </c>
      <c r="K717" s="225" t="s">
        <v>347</v>
      </c>
      <c r="L717" s="225" t="s">
        <v>347</v>
      </c>
      <c r="M717" s="225" t="s">
        <v>347</v>
      </c>
      <c r="N717" s="225" t="s">
        <v>347</v>
      </c>
      <c r="O717" s="225" t="s">
        <v>347</v>
      </c>
      <c r="P717" s="208" t="s">
        <v>374</v>
      </c>
    </row>
    <row r="718" spans="1:16" ht="15">
      <c r="A718" s="150"/>
      <c r="B718" s="104"/>
      <c r="C718" s="104"/>
      <c r="D718" s="103"/>
      <c r="E718" s="202"/>
      <c r="F718" s="202"/>
      <c r="G718" s="202"/>
      <c r="H718" s="106"/>
      <c r="I718" s="210" t="s">
        <v>756</v>
      </c>
      <c r="J718" s="232">
        <f>AVERAGE(J707:J714)</f>
        <v>8.5874999999999986</v>
      </c>
      <c r="K718" s="217">
        <f>STDEV(J707:J714)</f>
        <v>6.043517778815346</v>
      </c>
      <c r="L718" s="217" t="s">
        <v>1682</v>
      </c>
      <c r="M718" s="217" t="s">
        <v>1682</v>
      </c>
      <c r="N718" s="217" t="s">
        <v>1682</v>
      </c>
      <c r="O718" s="218" t="s">
        <v>1682</v>
      </c>
      <c r="P718" s="107"/>
    </row>
    <row r="719" spans="1:16" ht="16" thickBot="1">
      <c r="A719" s="150"/>
      <c r="B719" s="104"/>
      <c r="C719" s="104"/>
      <c r="D719" s="103"/>
      <c r="E719" s="202"/>
      <c r="F719" s="202"/>
      <c r="G719" s="202"/>
      <c r="H719" s="106"/>
      <c r="I719" s="212" t="s">
        <v>756</v>
      </c>
      <c r="J719" s="233">
        <f>AVERAGE(J715:J717)</f>
        <v>6.9433333333333325</v>
      </c>
      <c r="K719" s="222">
        <f>STDEV(J715:J717)</f>
        <v>3.4222263708488589</v>
      </c>
      <c r="L719" s="222" t="s">
        <v>1682</v>
      </c>
      <c r="M719" s="222" t="s">
        <v>1682</v>
      </c>
      <c r="N719" s="222" t="s">
        <v>1682</v>
      </c>
      <c r="O719" s="223" t="s">
        <v>1682</v>
      </c>
      <c r="P719" s="107"/>
    </row>
    <row r="720" spans="1:16" ht="15">
      <c r="A720" s="150"/>
      <c r="B720" s="104"/>
      <c r="C720" s="104"/>
      <c r="D720" s="103"/>
      <c r="E720" s="202"/>
      <c r="F720" s="202"/>
      <c r="G720" s="202"/>
      <c r="H720" s="106"/>
      <c r="J720" s="104"/>
      <c r="K720" s="202"/>
      <c r="L720" s="202"/>
      <c r="M720" s="202"/>
      <c r="N720" s="202"/>
      <c r="O720" s="202"/>
      <c r="P720" s="107"/>
    </row>
    <row r="721" spans="1:16" ht="15">
      <c r="A721" s="312"/>
      <c r="B721" s="313"/>
      <c r="C721" s="313"/>
      <c r="D721" s="314"/>
      <c r="E721" s="315"/>
      <c r="F721" s="315"/>
      <c r="G721" s="315"/>
      <c r="H721" s="316"/>
      <c r="I721" s="321"/>
      <c r="J721" s="313"/>
      <c r="K721" s="315"/>
      <c r="L721" s="315"/>
      <c r="M721" s="315"/>
      <c r="N721" s="315"/>
      <c r="O721" s="315"/>
      <c r="P721" s="319"/>
    </row>
    <row r="722" spans="1:16" ht="16" thickBot="1">
      <c r="A722" s="150"/>
      <c r="B722" s="104"/>
      <c r="C722" s="104"/>
      <c r="D722" s="103"/>
      <c r="E722" s="202"/>
      <c r="F722" s="202"/>
      <c r="G722" s="202"/>
      <c r="H722" s="106"/>
      <c r="J722" s="104"/>
      <c r="K722" s="202"/>
      <c r="L722" s="202"/>
      <c r="M722" s="202"/>
      <c r="N722" s="202"/>
      <c r="O722" s="202"/>
      <c r="P722" s="107"/>
    </row>
    <row r="723" spans="1:16" ht="16" thickBot="1">
      <c r="A723" s="169" t="s">
        <v>506</v>
      </c>
      <c r="B723" s="176" t="s">
        <v>507</v>
      </c>
      <c r="C723" s="176" t="s">
        <v>508</v>
      </c>
      <c r="D723" s="169" t="s">
        <v>195</v>
      </c>
      <c r="E723" s="173" t="s">
        <v>1682</v>
      </c>
      <c r="F723" s="173" t="s">
        <v>1682</v>
      </c>
      <c r="G723" s="173" t="s">
        <v>1682</v>
      </c>
      <c r="H723" s="234" t="s">
        <v>439</v>
      </c>
      <c r="I723" s="226" t="s">
        <v>756</v>
      </c>
      <c r="J723" s="227">
        <f>AVERAGE(10,15)</f>
        <v>12.5</v>
      </c>
      <c r="K723" s="228" t="s">
        <v>1682</v>
      </c>
      <c r="L723" s="228" t="s">
        <v>1682</v>
      </c>
      <c r="M723" s="228" t="s">
        <v>1682</v>
      </c>
      <c r="N723" s="228" t="s">
        <v>1682</v>
      </c>
      <c r="O723" s="229" t="s">
        <v>1682</v>
      </c>
      <c r="P723" s="235" t="s">
        <v>376</v>
      </c>
    </row>
    <row r="724" spans="1:16" ht="15">
      <c r="A724" s="150"/>
      <c r="B724" s="104"/>
      <c r="C724" s="104"/>
      <c r="D724" s="103"/>
      <c r="E724" s="202"/>
      <c r="F724" s="202"/>
      <c r="G724" s="202"/>
      <c r="H724" s="106"/>
      <c r="J724" s="104"/>
      <c r="K724" s="105"/>
      <c r="L724" s="105"/>
      <c r="M724" s="105"/>
      <c r="N724" s="105"/>
      <c r="O724" s="105"/>
      <c r="P724" s="107"/>
    </row>
    <row r="725" spans="1:16" ht="15">
      <c r="A725" s="312"/>
      <c r="B725" s="313"/>
      <c r="C725" s="313"/>
      <c r="D725" s="314"/>
      <c r="E725" s="315"/>
      <c r="F725" s="315"/>
      <c r="G725" s="315"/>
      <c r="H725" s="316"/>
      <c r="I725" s="321"/>
      <c r="J725" s="313"/>
      <c r="K725" s="318"/>
      <c r="L725" s="318"/>
      <c r="M725" s="318"/>
      <c r="N725" s="318"/>
      <c r="O725" s="318"/>
      <c r="P725" s="319"/>
    </row>
    <row r="726" spans="1:16" ht="15">
      <c r="A726" s="150"/>
      <c r="B726" s="104"/>
      <c r="C726" s="104"/>
      <c r="D726" s="103"/>
      <c r="E726" s="202"/>
      <c r="F726" s="202"/>
      <c r="G726" s="202"/>
      <c r="H726" s="106"/>
      <c r="J726" s="104"/>
      <c r="K726" s="105"/>
      <c r="L726" s="105"/>
      <c r="M726" s="105"/>
      <c r="N726" s="105"/>
      <c r="O726" s="105"/>
      <c r="P726" s="107"/>
    </row>
    <row r="727" spans="1:16" ht="15">
      <c r="A727" s="169" t="s">
        <v>141</v>
      </c>
      <c r="B727" s="176" t="s">
        <v>458</v>
      </c>
      <c r="C727" s="176" t="s">
        <v>679</v>
      </c>
      <c r="D727" s="169" t="s">
        <v>196</v>
      </c>
      <c r="E727" s="173" t="s">
        <v>1682</v>
      </c>
      <c r="F727" s="173" t="s">
        <v>1682</v>
      </c>
      <c r="G727" s="173" t="s">
        <v>1682</v>
      </c>
      <c r="H727" s="205" t="s">
        <v>439</v>
      </c>
      <c r="I727" s="173" t="s">
        <v>1682</v>
      </c>
      <c r="J727" s="176">
        <v>6.4</v>
      </c>
      <c r="K727" s="173" t="s">
        <v>1682</v>
      </c>
      <c r="L727" s="173" t="s">
        <v>1682</v>
      </c>
      <c r="M727" s="173" t="s">
        <v>1682</v>
      </c>
      <c r="N727" s="173" t="s">
        <v>1682</v>
      </c>
      <c r="O727" s="173" t="s">
        <v>1682</v>
      </c>
      <c r="P727" s="208" t="s">
        <v>377</v>
      </c>
    </row>
    <row r="728" spans="1:16" ht="15">
      <c r="A728" s="169" t="s">
        <v>141</v>
      </c>
      <c r="B728" s="176" t="s">
        <v>458</v>
      </c>
      <c r="C728" s="176" t="s">
        <v>679</v>
      </c>
      <c r="D728" s="169" t="s">
        <v>196</v>
      </c>
      <c r="E728" s="173" t="s">
        <v>1682</v>
      </c>
      <c r="F728" s="173" t="s">
        <v>1682</v>
      </c>
      <c r="G728" s="173" t="s">
        <v>1682</v>
      </c>
      <c r="H728" s="205" t="s">
        <v>439</v>
      </c>
      <c r="I728" s="173" t="s">
        <v>1682</v>
      </c>
      <c r="J728" s="176">
        <v>5.3</v>
      </c>
      <c r="K728" s="173" t="s">
        <v>1682</v>
      </c>
      <c r="L728" s="173" t="s">
        <v>1682</v>
      </c>
      <c r="M728" s="173" t="s">
        <v>1682</v>
      </c>
      <c r="N728" s="173" t="s">
        <v>1682</v>
      </c>
      <c r="O728" s="173" t="s">
        <v>1682</v>
      </c>
      <c r="P728" s="208" t="s">
        <v>164</v>
      </c>
    </row>
    <row r="729" spans="1:16" ht="15">
      <c r="A729" s="169" t="s">
        <v>141</v>
      </c>
      <c r="B729" s="176" t="s">
        <v>458</v>
      </c>
      <c r="C729" s="176" t="s">
        <v>679</v>
      </c>
      <c r="D729" s="169" t="s">
        <v>196</v>
      </c>
      <c r="E729" s="173" t="s">
        <v>1682</v>
      </c>
      <c r="F729" s="173" t="s">
        <v>1682</v>
      </c>
      <c r="G729" s="173" t="s">
        <v>1682</v>
      </c>
      <c r="H729" s="205" t="s">
        <v>439</v>
      </c>
      <c r="I729" s="173" t="s">
        <v>1682</v>
      </c>
      <c r="J729" s="176">
        <v>3.4</v>
      </c>
      <c r="K729" s="173" t="s">
        <v>1682</v>
      </c>
      <c r="L729" s="173" t="s">
        <v>1682</v>
      </c>
      <c r="M729" s="173" t="s">
        <v>1682</v>
      </c>
      <c r="N729" s="173" t="s">
        <v>1682</v>
      </c>
      <c r="O729" s="173" t="s">
        <v>1682</v>
      </c>
      <c r="P729" s="208" t="s">
        <v>165</v>
      </c>
    </row>
    <row r="730" spans="1:16" ht="15">
      <c r="A730" s="169" t="s">
        <v>141</v>
      </c>
      <c r="B730" s="176" t="s">
        <v>458</v>
      </c>
      <c r="C730" s="176" t="s">
        <v>679</v>
      </c>
      <c r="D730" s="169" t="s">
        <v>196</v>
      </c>
      <c r="E730" s="173" t="s">
        <v>1682</v>
      </c>
      <c r="F730" s="173" t="s">
        <v>1682</v>
      </c>
      <c r="G730" s="173" t="s">
        <v>1682</v>
      </c>
      <c r="H730" s="205" t="s">
        <v>439</v>
      </c>
      <c r="I730" s="173" t="s">
        <v>1682</v>
      </c>
      <c r="J730" s="176">
        <v>3</v>
      </c>
      <c r="K730" s="173" t="s">
        <v>1682</v>
      </c>
      <c r="L730" s="173" t="s">
        <v>1682</v>
      </c>
      <c r="M730" s="173" t="s">
        <v>1682</v>
      </c>
      <c r="N730" s="173" t="s">
        <v>1682</v>
      </c>
      <c r="O730" s="173" t="s">
        <v>1682</v>
      </c>
      <c r="P730" s="208" t="s">
        <v>269</v>
      </c>
    </row>
    <row r="731" spans="1:16" ht="15">
      <c r="A731" s="169" t="s">
        <v>141</v>
      </c>
      <c r="B731" s="176" t="s">
        <v>458</v>
      </c>
      <c r="C731" s="176" t="s">
        <v>679</v>
      </c>
      <c r="D731" s="169" t="s">
        <v>196</v>
      </c>
      <c r="E731" s="173" t="s">
        <v>1682</v>
      </c>
      <c r="F731" s="173" t="s">
        <v>1682</v>
      </c>
      <c r="G731" s="173" t="s">
        <v>1682</v>
      </c>
      <c r="H731" s="205" t="s">
        <v>439</v>
      </c>
      <c r="I731" s="173" t="s">
        <v>1682</v>
      </c>
      <c r="J731" s="176">
        <v>3</v>
      </c>
      <c r="K731" s="173" t="s">
        <v>1682</v>
      </c>
      <c r="L731" s="173" t="s">
        <v>1682</v>
      </c>
      <c r="M731" s="173" t="s">
        <v>1682</v>
      </c>
      <c r="N731" s="173" t="s">
        <v>1682</v>
      </c>
      <c r="O731" s="173" t="s">
        <v>1682</v>
      </c>
      <c r="P731" s="208" t="s">
        <v>254</v>
      </c>
    </row>
    <row r="732" spans="1:16" ht="15">
      <c r="A732" s="169" t="s">
        <v>141</v>
      </c>
      <c r="B732" s="176" t="s">
        <v>458</v>
      </c>
      <c r="C732" s="176" t="s">
        <v>679</v>
      </c>
      <c r="D732" s="169" t="s">
        <v>196</v>
      </c>
      <c r="E732" s="173" t="s">
        <v>1682</v>
      </c>
      <c r="F732" s="173" t="s">
        <v>1682</v>
      </c>
      <c r="G732" s="173" t="s">
        <v>1682</v>
      </c>
      <c r="H732" s="205" t="s">
        <v>439</v>
      </c>
      <c r="I732" s="173" t="s">
        <v>1682</v>
      </c>
      <c r="J732" s="176">
        <v>2.8</v>
      </c>
      <c r="K732" s="173" t="s">
        <v>1682</v>
      </c>
      <c r="L732" s="173" t="s">
        <v>1682</v>
      </c>
      <c r="M732" s="173" t="s">
        <v>1682</v>
      </c>
      <c r="N732" s="173" t="s">
        <v>1682</v>
      </c>
      <c r="O732" s="173" t="s">
        <v>1682</v>
      </c>
      <c r="P732" s="208" t="s">
        <v>255</v>
      </c>
    </row>
    <row r="733" spans="1:16" ht="15">
      <c r="A733" s="169" t="s">
        <v>141</v>
      </c>
      <c r="B733" s="176" t="s">
        <v>458</v>
      </c>
      <c r="C733" s="176" t="s">
        <v>679</v>
      </c>
      <c r="D733" s="169" t="s">
        <v>196</v>
      </c>
      <c r="E733" s="173" t="s">
        <v>1682</v>
      </c>
      <c r="F733" s="173" t="s">
        <v>1682</v>
      </c>
      <c r="G733" s="173" t="s">
        <v>1682</v>
      </c>
      <c r="H733" s="205" t="s">
        <v>439</v>
      </c>
      <c r="I733" s="173" t="s">
        <v>1682</v>
      </c>
      <c r="J733" s="176">
        <v>2.6</v>
      </c>
      <c r="K733" s="173" t="s">
        <v>1682</v>
      </c>
      <c r="L733" s="173" t="s">
        <v>1682</v>
      </c>
      <c r="M733" s="173" t="s">
        <v>1682</v>
      </c>
      <c r="N733" s="173" t="s">
        <v>1682</v>
      </c>
      <c r="O733" s="173" t="s">
        <v>1682</v>
      </c>
      <c r="P733" s="208" t="s">
        <v>256</v>
      </c>
    </row>
    <row r="734" spans="1:16" ht="15">
      <c r="A734" s="169" t="s">
        <v>141</v>
      </c>
      <c r="B734" s="176" t="s">
        <v>458</v>
      </c>
      <c r="C734" s="176" t="s">
        <v>679</v>
      </c>
      <c r="D734" s="169" t="s">
        <v>196</v>
      </c>
      <c r="E734" s="173" t="s">
        <v>1682</v>
      </c>
      <c r="F734" s="173" t="s">
        <v>1682</v>
      </c>
      <c r="G734" s="173" t="s">
        <v>1682</v>
      </c>
      <c r="H734" s="205" t="s">
        <v>439</v>
      </c>
      <c r="I734" s="173" t="s">
        <v>1682</v>
      </c>
      <c r="J734" s="176">
        <v>2.6</v>
      </c>
      <c r="K734" s="173" t="s">
        <v>1682</v>
      </c>
      <c r="L734" s="173" t="s">
        <v>1682</v>
      </c>
      <c r="M734" s="173" t="s">
        <v>1682</v>
      </c>
      <c r="N734" s="173" t="s">
        <v>1682</v>
      </c>
      <c r="O734" s="173" t="s">
        <v>1682</v>
      </c>
      <c r="P734" s="208" t="s">
        <v>257</v>
      </c>
    </row>
    <row r="735" spans="1:16" ht="15">
      <c r="A735" s="169" t="s">
        <v>141</v>
      </c>
      <c r="B735" s="176" t="s">
        <v>458</v>
      </c>
      <c r="C735" s="176" t="s">
        <v>679</v>
      </c>
      <c r="D735" s="169" t="s">
        <v>196</v>
      </c>
      <c r="E735" s="173" t="s">
        <v>1682</v>
      </c>
      <c r="F735" s="173" t="s">
        <v>1682</v>
      </c>
      <c r="G735" s="173" t="s">
        <v>1682</v>
      </c>
      <c r="H735" s="205" t="s">
        <v>439</v>
      </c>
      <c r="I735" s="173" t="s">
        <v>1682</v>
      </c>
      <c r="J735" s="176">
        <v>2.5</v>
      </c>
      <c r="K735" s="173" t="s">
        <v>1682</v>
      </c>
      <c r="L735" s="173" t="s">
        <v>1682</v>
      </c>
      <c r="M735" s="173" t="s">
        <v>1682</v>
      </c>
      <c r="N735" s="173" t="s">
        <v>1682</v>
      </c>
      <c r="O735" s="173" t="s">
        <v>1682</v>
      </c>
      <c r="P735" s="208" t="s">
        <v>509</v>
      </c>
    </row>
    <row r="736" spans="1:16" ht="15">
      <c r="A736" s="169" t="s">
        <v>141</v>
      </c>
      <c r="B736" s="176" t="s">
        <v>458</v>
      </c>
      <c r="C736" s="176" t="s">
        <v>679</v>
      </c>
      <c r="D736" s="169" t="s">
        <v>196</v>
      </c>
      <c r="E736" s="173" t="s">
        <v>1682</v>
      </c>
      <c r="F736" s="173" t="s">
        <v>1682</v>
      </c>
      <c r="G736" s="173" t="s">
        <v>1682</v>
      </c>
      <c r="H736" s="205" t="s">
        <v>439</v>
      </c>
      <c r="I736" s="173" t="s">
        <v>1682</v>
      </c>
      <c r="J736" s="176">
        <v>2.5</v>
      </c>
      <c r="K736" s="173" t="s">
        <v>1682</v>
      </c>
      <c r="L736" s="173" t="s">
        <v>1682</v>
      </c>
      <c r="M736" s="173" t="s">
        <v>1682</v>
      </c>
      <c r="N736" s="173" t="s">
        <v>1682</v>
      </c>
      <c r="O736" s="173" t="s">
        <v>1682</v>
      </c>
      <c r="P736" s="208" t="s">
        <v>538</v>
      </c>
    </row>
    <row r="737" spans="1:16" ht="15">
      <c r="A737" s="169" t="s">
        <v>141</v>
      </c>
      <c r="B737" s="176" t="s">
        <v>458</v>
      </c>
      <c r="C737" s="176" t="s">
        <v>679</v>
      </c>
      <c r="D737" s="169" t="s">
        <v>196</v>
      </c>
      <c r="E737" s="173" t="s">
        <v>1682</v>
      </c>
      <c r="F737" s="173" t="s">
        <v>1682</v>
      </c>
      <c r="G737" s="173" t="s">
        <v>1682</v>
      </c>
      <c r="H737" s="205" t="s">
        <v>439</v>
      </c>
      <c r="I737" s="173" t="s">
        <v>1682</v>
      </c>
      <c r="J737" s="176">
        <v>2.5</v>
      </c>
      <c r="K737" s="173" t="s">
        <v>1682</v>
      </c>
      <c r="L737" s="173" t="s">
        <v>1682</v>
      </c>
      <c r="M737" s="173" t="s">
        <v>1682</v>
      </c>
      <c r="N737" s="173" t="s">
        <v>1682</v>
      </c>
      <c r="O737" s="173" t="s">
        <v>1682</v>
      </c>
      <c r="P737" s="208" t="s">
        <v>155</v>
      </c>
    </row>
    <row r="738" spans="1:16" ht="15">
      <c r="A738" s="169" t="s">
        <v>141</v>
      </c>
      <c r="B738" s="176" t="s">
        <v>458</v>
      </c>
      <c r="C738" s="176" t="s">
        <v>679</v>
      </c>
      <c r="D738" s="169" t="s">
        <v>196</v>
      </c>
      <c r="E738" s="173" t="s">
        <v>1682</v>
      </c>
      <c r="F738" s="173" t="s">
        <v>1682</v>
      </c>
      <c r="G738" s="173" t="s">
        <v>1682</v>
      </c>
      <c r="H738" s="205" t="s">
        <v>439</v>
      </c>
      <c r="I738" s="173" t="s">
        <v>1682</v>
      </c>
      <c r="J738" s="176">
        <v>2.2999999999999998</v>
      </c>
      <c r="K738" s="173" t="s">
        <v>1682</v>
      </c>
      <c r="L738" s="173" t="s">
        <v>1682</v>
      </c>
      <c r="M738" s="173" t="s">
        <v>1682</v>
      </c>
      <c r="N738" s="173" t="s">
        <v>1682</v>
      </c>
      <c r="O738" s="173" t="s">
        <v>1682</v>
      </c>
      <c r="P738" s="208" t="s">
        <v>156</v>
      </c>
    </row>
    <row r="739" spans="1:16" ht="15">
      <c r="A739" s="169" t="s">
        <v>141</v>
      </c>
      <c r="B739" s="176" t="s">
        <v>458</v>
      </c>
      <c r="C739" s="176" t="s">
        <v>679</v>
      </c>
      <c r="D739" s="169" t="s">
        <v>196</v>
      </c>
      <c r="E739" s="173" t="s">
        <v>1682</v>
      </c>
      <c r="F739" s="173" t="s">
        <v>1682</v>
      </c>
      <c r="G739" s="173" t="s">
        <v>1682</v>
      </c>
      <c r="H739" s="205" t="s">
        <v>439</v>
      </c>
      <c r="I739" s="173" t="s">
        <v>1682</v>
      </c>
      <c r="J739" s="176">
        <v>2.2999999999999998</v>
      </c>
      <c r="K739" s="173" t="s">
        <v>42</v>
      </c>
      <c r="L739" s="173" t="s">
        <v>42</v>
      </c>
      <c r="M739" s="173" t="s">
        <v>42</v>
      </c>
      <c r="N739" s="173" t="s">
        <v>42</v>
      </c>
      <c r="O739" s="173" t="s">
        <v>42</v>
      </c>
      <c r="P739" s="208" t="s">
        <v>43</v>
      </c>
    </row>
    <row r="740" spans="1:16" ht="15">
      <c r="A740" s="169" t="s">
        <v>141</v>
      </c>
      <c r="B740" s="176" t="s">
        <v>458</v>
      </c>
      <c r="C740" s="176" t="s">
        <v>679</v>
      </c>
      <c r="D740" s="169" t="s">
        <v>196</v>
      </c>
      <c r="E740" s="173" t="s">
        <v>1682</v>
      </c>
      <c r="F740" s="173" t="s">
        <v>1682</v>
      </c>
      <c r="G740" s="173" t="s">
        <v>1682</v>
      </c>
      <c r="H740" s="205" t="s">
        <v>439</v>
      </c>
      <c r="I740" s="173" t="s">
        <v>1682</v>
      </c>
      <c r="J740" s="176">
        <v>2.2000000000000002</v>
      </c>
      <c r="K740" s="173" t="s">
        <v>42</v>
      </c>
      <c r="L740" s="173" t="s">
        <v>42</v>
      </c>
      <c r="M740" s="173" t="s">
        <v>42</v>
      </c>
      <c r="N740" s="173" t="s">
        <v>42</v>
      </c>
      <c r="O740" s="173" t="s">
        <v>42</v>
      </c>
      <c r="P740" s="208" t="s">
        <v>142</v>
      </c>
    </row>
    <row r="741" spans="1:16" ht="15">
      <c r="A741" s="169" t="s">
        <v>141</v>
      </c>
      <c r="B741" s="176" t="s">
        <v>458</v>
      </c>
      <c r="C741" s="176" t="s">
        <v>679</v>
      </c>
      <c r="D741" s="169" t="s">
        <v>196</v>
      </c>
      <c r="E741" s="173" t="s">
        <v>1682</v>
      </c>
      <c r="F741" s="173" t="s">
        <v>1682</v>
      </c>
      <c r="G741" s="173" t="s">
        <v>1682</v>
      </c>
      <c r="H741" s="205" t="s">
        <v>439</v>
      </c>
      <c r="I741" s="173" t="s">
        <v>1682</v>
      </c>
      <c r="J741" s="176">
        <v>2.2000000000000002</v>
      </c>
      <c r="K741" s="173" t="s">
        <v>42</v>
      </c>
      <c r="L741" s="173" t="s">
        <v>42</v>
      </c>
      <c r="M741" s="173" t="s">
        <v>42</v>
      </c>
      <c r="N741" s="173" t="s">
        <v>42</v>
      </c>
      <c r="O741" s="173" t="s">
        <v>42</v>
      </c>
      <c r="P741" s="208" t="s">
        <v>143</v>
      </c>
    </row>
    <row r="742" spans="1:16" ht="15">
      <c r="A742" s="169" t="s">
        <v>141</v>
      </c>
      <c r="B742" s="176" t="s">
        <v>458</v>
      </c>
      <c r="C742" s="176" t="s">
        <v>679</v>
      </c>
      <c r="D742" s="169" t="s">
        <v>196</v>
      </c>
      <c r="E742" s="173" t="s">
        <v>1682</v>
      </c>
      <c r="F742" s="173" t="s">
        <v>1682</v>
      </c>
      <c r="G742" s="173" t="s">
        <v>1682</v>
      </c>
      <c r="H742" s="205" t="s">
        <v>439</v>
      </c>
      <c r="I742" s="173" t="s">
        <v>1682</v>
      </c>
      <c r="J742" s="176">
        <v>2.1</v>
      </c>
      <c r="K742" s="173" t="s">
        <v>42</v>
      </c>
      <c r="L742" s="173" t="s">
        <v>42</v>
      </c>
      <c r="M742" s="173" t="s">
        <v>42</v>
      </c>
      <c r="N742" s="173" t="s">
        <v>42</v>
      </c>
      <c r="O742" s="173" t="s">
        <v>42</v>
      </c>
      <c r="P742" s="208" t="s">
        <v>144</v>
      </c>
    </row>
    <row r="743" spans="1:16" ht="15">
      <c r="A743" s="169" t="s">
        <v>141</v>
      </c>
      <c r="B743" s="176" t="s">
        <v>458</v>
      </c>
      <c r="C743" s="176" t="s">
        <v>679</v>
      </c>
      <c r="D743" s="169" t="s">
        <v>196</v>
      </c>
      <c r="E743" s="173" t="s">
        <v>1682</v>
      </c>
      <c r="F743" s="173" t="s">
        <v>1682</v>
      </c>
      <c r="G743" s="173" t="s">
        <v>1682</v>
      </c>
      <c r="H743" s="205" t="s">
        <v>439</v>
      </c>
      <c r="I743" s="173" t="s">
        <v>1682</v>
      </c>
      <c r="J743" s="176">
        <v>2</v>
      </c>
      <c r="K743" s="173" t="s">
        <v>42</v>
      </c>
      <c r="L743" s="173" t="s">
        <v>42</v>
      </c>
      <c r="M743" s="173" t="s">
        <v>42</v>
      </c>
      <c r="N743" s="173" t="s">
        <v>42</v>
      </c>
      <c r="O743" s="173" t="s">
        <v>42</v>
      </c>
      <c r="P743" s="208" t="s">
        <v>145</v>
      </c>
    </row>
    <row r="744" spans="1:16" ht="15">
      <c r="A744" s="169" t="s">
        <v>141</v>
      </c>
      <c r="B744" s="176" t="s">
        <v>458</v>
      </c>
      <c r="C744" s="176" t="s">
        <v>679</v>
      </c>
      <c r="D744" s="169" t="s">
        <v>196</v>
      </c>
      <c r="E744" s="173" t="s">
        <v>1682</v>
      </c>
      <c r="F744" s="173" t="s">
        <v>1682</v>
      </c>
      <c r="G744" s="173" t="s">
        <v>1682</v>
      </c>
      <c r="H744" s="205" t="s">
        <v>439</v>
      </c>
      <c r="I744" s="173" t="s">
        <v>1682</v>
      </c>
      <c r="J744" s="176">
        <v>2</v>
      </c>
      <c r="K744" s="173" t="s">
        <v>42</v>
      </c>
      <c r="L744" s="173" t="s">
        <v>42</v>
      </c>
      <c r="M744" s="173" t="s">
        <v>42</v>
      </c>
      <c r="N744" s="173" t="s">
        <v>42</v>
      </c>
      <c r="O744" s="173" t="s">
        <v>42</v>
      </c>
      <c r="P744" s="208" t="s">
        <v>146</v>
      </c>
    </row>
    <row r="745" spans="1:16" ht="15">
      <c r="A745" s="169" t="s">
        <v>141</v>
      </c>
      <c r="B745" s="176" t="s">
        <v>458</v>
      </c>
      <c r="C745" s="176" t="s">
        <v>679</v>
      </c>
      <c r="D745" s="169" t="s">
        <v>196</v>
      </c>
      <c r="E745" s="173" t="s">
        <v>1682</v>
      </c>
      <c r="F745" s="173" t="s">
        <v>1682</v>
      </c>
      <c r="G745" s="173" t="s">
        <v>1682</v>
      </c>
      <c r="H745" s="205" t="s">
        <v>439</v>
      </c>
      <c r="I745" s="173" t="s">
        <v>1682</v>
      </c>
      <c r="J745" s="176">
        <v>2</v>
      </c>
      <c r="K745" s="173" t="s">
        <v>42</v>
      </c>
      <c r="L745" s="173" t="s">
        <v>42</v>
      </c>
      <c r="M745" s="173" t="s">
        <v>42</v>
      </c>
      <c r="N745" s="173" t="s">
        <v>42</v>
      </c>
      <c r="O745" s="173" t="s">
        <v>42</v>
      </c>
      <c r="P745" s="208" t="s">
        <v>147</v>
      </c>
    </row>
    <row r="746" spans="1:16" ht="15">
      <c r="A746" s="169" t="s">
        <v>141</v>
      </c>
      <c r="B746" s="176" t="s">
        <v>458</v>
      </c>
      <c r="C746" s="176" t="s">
        <v>679</v>
      </c>
      <c r="D746" s="169" t="s">
        <v>196</v>
      </c>
      <c r="E746" s="173" t="s">
        <v>1682</v>
      </c>
      <c r="F746" s="173" t="s">
        <v>1682</v>
      </c>
      <c r="G746" s="173" t="s">
        <v>1682</v>
      </c>
      <c r="H746" s="205" t="s">
        <v>439</v>
      </c>
      <c r="I746" s="173" t="s">
        <v>1682</v>
      </c>
      <c r="J746" s="176">
        <v>1.9</v>
      </c>
      <c r="K746" s="173" t="s">
        <v>42</v>
      </c>
      <c r="L746" s="173" t="s">
        <v>42</v>
      </c>
      <c r="M746" s="173" t="s">
        <v>42</v>
      </c>
      <c r="N746" s="173" t="s">
        <v>42</v>
      </c>
      <c r="O746" s="173" t="s">
        <v>42</v>
      </c>
      <c r="P746" s="208" t="s">
        <v>148</v>
      </c>
    </row>
    <row r="747" spans="1:16" ht="15">
      <c r="A747" s="169" t="s">
        <v>141</v>
      </c>
      <c r="B747" s="176" t="s">
        <v>458</v>
      </c>
      <c r="C747" s="176" t="s">
        <v>679</v>
      </c>
      <c r="D747" s="169" t="s">
        <v>196</v>
      </c>
      <c r="E747" s="173" t="s">
        <v>1682</v>
      </c>
      <c r="F747" s="173" t="s">
        <v>1682</v>
      </c>
      <c r="G747" s="173" t="s">
        <v>1682</v>
      </c>
      <c r="H747" s="205" t="s">
        <v>439</v>
      </c>
      <c r="I747" s="173" t="s">
        <v>1682</v>
      </c>
      <c r="J747" s="176">
        <v>1.9</v>
      </c>
      <c r="K747" s="173" t="s">
        <v>42</v>
      </c>
      <c r="L747" s="173" t="s">
        <v>42</v>
      </c>
      <c r="M747" s="173" t="s">
        <v>42</v>
      </c>
      <c r="N747" s="173" t="s">
        <v>42</v>
      </c>
      <c r="O747" s="173" t="s">
        <v>42</v>
      </c>
      <c r="P747" s="208" t="s">
        <v>149</v>
      </c>
    </row>
    <row r="748" spans="1:16" ht="15">
      <c r="A748" s="169" t="s">
        <v>141</v>
      </c>
      <c r="B748" s="176" t="s">
        <v>458</v>
      </c>
      <c r="C748" s="176" t="s">
        <v>679</v>
      </c>
      <c r="D748" s="169" t="s">
        <v>196</v>
      </c>
      <c r="E748" s="173" t="s">
        <v>1682</v>
      </c>
      <c r="F748" s="173" t="s">
        <v>1682</v>
      </c>
      <c r="G748" s="173" t="s">
        <v>1682</v>
      </c>
      <c r="H748" s="205" t="s">
        <v>439</v>
      </c>
      <c r="I748" s="173" t="s">
        <v>1682</v>
      </c>
      <c r="J748" s="176">
        <v>1.7</v>
      </c>
      <c r="K748" s="173" t="s">
        <v>42</v>
      </c>
      <c r="L748" s="173" t="s">
        <v>42</v>
      </c>
      <c r="M748" s="173" t="s">
        <v>42</v>
      </c>
      <c r="N748" s="173" t="s">
        <v>42</v>
      </c>
      <c r="O748" s="173" t="s">
        <v>42</v>
      </c>
      <c r="P748" s="208" t="s">
        <v>150</v>
      </c>
    </row>
    <row r="749" spans="1:16" ht="15">
      <c r="A749" s="169" t="s">
        <v>141</v>
      </c>
      <c r="B749" s="176" t="s">
        <v>458</v>
      </c>
      <c r="C749" s="176" t="s">
        <v>679</v>
      </c>
      <c r="D749" s="169" t="s">
        <v>196</v>
      </c>
      <c r="E749" s="173" t="s">
        <v>1682</v>
      </c>
      <c r="F749" s="173" t="s">
        <v>1682</v>
      </c>
      <c r="G749" s="173" t="s">
        <v>1682</v>
      </c>
      <c r="H749" s="205" t="s">
        <v>439</v>
      </c>
      <c r="I749" s="173" t="s">
        <v>1682</v>
      </c>
      <c r="J749" s="176">
        <v>1.5</v>
      </c>
      <c r="K749" s="173" t="s">
        <v>42</v>
      </c>
      <c r="L749" s="173" t="s">
        <v>42</v>
      </c>
      <c r="M749" s="173" t="s">
        <v>42</v>
      </c>
      <c r="N749" s="173" t="s">
        <v>42</v>
      </c>
      <c r="O749" s="173" t="s">
        <v>42</v>
      </c>
      <c r="P749" s="208" t="s">
        <v>139</v>
      </c>
    </row>
    <row r="750" spans="1:16" ht="15">
      <c r="A750" s="169" t="s">
        <v>141</v>
      </c>
      <c r="B750" s="176" t="s">
        <v>458</v>
      </c>
      <c r="C750" s="176" t="s">
        <v>679</v>
      </c>
      <c r="D750" s="169" t="s">
        <v>196</v>
      </c>
      <c r="E750" s="173" t="s">
        <v>1682</v>
      </c>
      <c r="F750" s="173" t="s">
        <v>1682</v>
      </c>
      <c r="G750" s="173" t="s">
        <v>1682</v>
      </c>
      <c r="H750" s="205" t="s">
        <v>439</v>
      </c>
      <c r="I750" s="173" t="s">
        <v>1682</v>
      </c>
      <c r="J750" s="176">
        <v>1.5</v>
      </c>
      <c r="K750" s="173" t="s">
        <v>42</v>
      </c>
      <c r="L750" s="173" t="s">
        <v>42</v>
      </c>
      <c r="M750" s="173" t="s">
        <v>42</v>
      </c>
      <c r="N750" s="173" t="s">
        <v>42</v>
      </c>
      <c r="O750" s="173" t="s">
        <v>42</v>
      </c>
      <c r="P750" s="208" t="s">
        <v>140</v>
      </c>
    </row>
    <row r="751" spans="1:16" ht="15">
      <c r="A751" s="169" t="s">
        <v>141</v>
      </c>
      <c r="B751" s="176" t="s">
        <v>458</v>
      </c>
      <c r="C751" s="176" t="s">
        <v>679</v>
      </c>
      <c r="D751" s="169" t="s">
        <v>196</v>
      </c>
      <c r="E751" s="173" t="s">
        <v>1682</v>
      </c>
      <c r="F751" s="173" t="s">
        <v>1682</v>
      </c>
      <c r="G751" s="173" t="s">
        <v>1682</v>
      </c>
      <c r="H751" s="205" t="s">
        <v>439</v>
      </c>
      <c r="I751" s="173" t="s">
        <v>1682</v>
      </c>
      <c r="J751" s="176">
        <v>1.4</v>
      </c>
      <c r="K751" s="173" t="s">
        <v>42</v>
      </c>
      <c r="L751" s="173" t="s">
        <v>42</v>
      </c>
      <c r="M751" s="173" t="s">
        <v>42</v>
      </c>
      <c r="N751" s="173" t="s">
        <v>42</v>
      </c>
      <c r="O751" s="173" t="s">
        <v>42</v>
      </c>
      <c r="P751" s="208" t="s">
        <v>170</v>
      </c>
    </row>
    <row r="752" spans="1:16" ht="15">
      <c r="A752" s="169" t="s">
        <v>141</v>
      </c>
      <c r="B752" s="176" t="s">
        <v>458</v>
      </c>
      <c r="C752" s="176" t="s">
        <v>679</v>
      </c>
      <c r="D752" s="169" t="s">
        <v>196</v>
      </c>
      <c r="E752" s="173" t="s">
        <v>1682</v>
      </c>
      <c r="F752" s="173" t="s">
        <v>1682</v>
      </c>
      <c r="G752" s="173" t="s">
        <v>1682</v>
      </c>
      <c r="H752" s="205" t="s">
        <v>439</v>
      </c>
      <c r="I752" s="173" t="s">
        <v>1682</v>
      </c>
      <c r="J752" s="176">
        <v>1.4</v>
      </c>
      <c r="K752" s="173" t="s">
        <v>42</v>
      </c>
      <c r="L752" s="173" t="s">
        <v>42</v>
      </c>
      <c r="M752" s="173" t="s">
        <v>42</v>
      </c>
      <c r="N752" s="173" t="s">
        <v>42</v>
      </c>
      <c r="O752" s="173" t="s">
        <v>42</v>
      </c>
      <c r="P752" s="208" t="s">
        <v>171</v>
      </c>
    </row>
    <row r="753" spans="1:16" ht="15">
      <c r="A753" s="169" t="s">
        <v>141</v>
      </c>
      <c r="B753" s="176" t="s">
        <v>458</v>
      </c>
      <c r="C753" s="176" t="s">
        <v>679</v>
      </c>
      <c r="D753" s="169" t="s">
        <v>196</v>
      </c>
      <c r="E753" s="173" t="s">
        <v>1682</v>
      </c>
      <c r="F753" s="173" t="s">
        <v>1682</v>
      </c>
      <c r="G753" s="173" t="s">
        <v>1682</v>
      </c>
      <c r="H753" s="205" t="s">
        <v>439</v>
      </c>
      <c r="I753" s="173" t="s">
        <v>1682</v>
      </c>
      <c r="J753" s="176">
        <v>1.4</v>
      </c>
      <c r="K753" s="173" t="s">
        <v>42</v>
      </c>
      <c r="L753" s="173" t="s">
        <v>42</v>
      </c>
      <c r="M753" s="173" t="s">
        <v>42</v>
      </c>
      <c r="N753" s="173" t="s">
        <v>42</v>
      </c>
      <c r="O753" s="173" t="s">
        <v>42</v>
      </c>
      <c r="P753" s="208" t="s">
        <v>282</v>
      </c>
    </row>
    <row r="754" spans="1:16" ht="15">
      <c r="A754" s="169" t="s">
        <v>141</v>
      </c>
      <c r="B754" s="176" t="s">
        <v>458</v>
      </c>
      <c r="C754" s="176" t="s">
        <v>679</v>
      </c>
      <c r="D754" s="169" t="s">
        <v>196</v>
      </c>
      <c r="E754" s="173" t="s">
        <v>1682</v>
      </c>
      <c r="F754" s="173" t="s">
        <v>1682</v>
      </c>
      <c r="G754" s="173" t="s">
        <v>1682</v>
      </c>
      <c r="H754" s="205" t="s">
        <v>439</v>
      </c>
      <c r="I754" s="173" t="s">
        <v>1682</v>
      </c>
      <c r="J754" s="176">
        <v>1.3</v>
      </c>
      <c r="K754" s="173" t="s">
        <v>42</v>
      </c>
      <c r="L754" s="173" t="s">
        <v>42</v>
      </c>
      <c r="M754" s="173" t="s">
        <v>42</v>
      </c>
      <c r="N754" s="173" t="s">
        <v>42</v>
      </c>
      <c r="O754" s="173" t="s">
        <v>42</v>
      </c>
      <c r="P754" s="208" t="s">
        <v>283</v>
      </c>
    </row>
    <row r="755" spans="1:16" ht="15">
      <c r="A755" s="169" t="s">
        <v>141</v>
      </c>
      <c r="B755" s="176" t="s">
        <v>458</v>
      </c>
      <c r="C755" s="176" t="s">
        <v>679</v>
      </c>
      <c r="D755" s="169" t="s">
        <v>196</v>
      </c>
      <c r="E755" s="173" t="s">
        <v>1682</v>
      </c>
      <c r="F755" s="173" t="s">
        <v>1682</v>
      </c>
      <c r="G755" s="173" t="s">
        <v>1682</v>
      </c>
      <c r="H755" s="205" t="s">
        <v>439</v>
      </c>
      <c r="I755" s="173" t="s">
        <v>1682</v>
      </c>
      <c r="J755" s="176">
        <v>1.3</v>
      </c>
      <c r="K755" s="173" t="s">
        <v>42</v>
      </c>
      <c r="L755" s="173" t="s">
        <v>42</v>
      </c>
      <c r="M755" s="173" t="s">
        <v>42</v>
      </c>
      <c r="N755" s="173" t="s">
        <v>42</v>
      </c>
      <c r="O755" s="173" t="s">
        <v>42</v>
      </c>
      <c r="P755" s="208" t="s">
        <v>284</v>
      </c>
    </row>
    <row r="756" spans="1:16" ht="15">
      <c r="A756" s="169" t="s">
        <v>141</v>
      </c>
      <c r="B756" s="176" t="s">
        <v>458</v>
      </c>
      <c r="C756" s="176" t="s">
        <v>679</v>
      </c>
      <c r="D756" s="169" t="s">
        <v>196</v>
      </c>
      <c r="E756" s="173" t="s">
        <v>1682</v>
      </c>
      <c r="F756" s="173" t="s">
        <v>1682</v>
      </c>
      <c r="G756" s="173" t="s">
        <v>1682</v>
      </c>
      <c r="H756" s="205" t="s">
        <v>439</v>
      </c>
      <c r="I756" s="173" t="s">
        <v>1682</v>
      </c>
      <c r="J756" s="176">
        <v>1.3</v>
      </c>
      <c r="K756" s="173" t="s">
        <v>42</v>
      </c>
      <c r="L756" s="173" t="s">
        <v>42</v>
      </c>
      <c r="M756" s="173" t="s">
        <v>42</v>
      </c>
      <c r="N756" s="173" t="s">
        <v>42</v>
      </c>
      <c r="O756" s="173" t="s">
        <v>42</v>
      </c>
      <c r="P756" s="208" t="s">
        <v>285</v>
      </c>
    </row>
    <row r="757" spans="1:16" ht="15">
      <c r="A757" s="169" t="s">
        <v>141</v>
      </c>
      <c r="B757" s="176" t="s">
        <v>458</v>
      </c>
      <c r="C757" s="176" t="s">
        <v>679</v>
      </c>
      <c r="D757" s="169" t="s">
        <v>196</v>
      </c>
      <c r="E757" s="173" t="s">
        <v>1682</v>
      </c>
      <c r="F757" s="173" t="s">
        <v>1682</v>
      </c>
      <c r="G757" s="173" t="s">
        <v>1682</v>
      </c>
      <c r="H757" s="205" t="s">
        <v>439</v>
      </c>
      <c r="I757" s="173" t="s">
        <v>1682</v>
      </c>
      <c r="J757" s="176">
        <v>1.2</v>
      </c>
      <c r="K757" s="173" t="s">
        <v>42</v>
      </c>
      <c r="L757" s="173" t="s">
        <v>42</v>
      </c>
      <c r="M757" s="173" t="s">
        <v>42</v>
      </c>
      <c r="N757" s="173" t="s">
        <v>42</v>
      </c>
      <c r="O757" s="173" t="s">
        <v>42</v>
      </c>
      <c r="P757" s="208" t="s">
        <v>286</v>
      </c>
    </row>
    <row r="758" spans="1:16" ht="15">
      <c r="A758" s="169" t="s">
        <v>141</v>
      </c>
      <c r="B758" s="176" t="s">
        <v>458</v>
      </c>
      <c r="C758" s="176" t="s">
        <v>679</v>
      </c>
      <c r="D758" s="169" t="s">
        <v>196</v>
      </c>
      <c r="E758" s="173" t="s">
        <v>1682</v>
      </c>
      <c r="F758" s="173" t="s">
        <v>1682</v>
      </c>
      <c r="G758" s="173" t="s">
        <v>1682</v>
      </c>
      <c r="H758" s="205" t="s">
        <v>439</v>
      </c>
      <c r="I758" s="173" t="s">
        <v>1682</v>
      </c>
      <c r="J758" s="176">
        <v>1.2</v>
      </c>
      <c r="K758" s="173" t="s">
        <v>42</v>
      </c>
      <c r="L758" s="173" t="s">
        <v>42</v>
      </c>
      <c r="M758" s="173" t="s">
        <v>42</v>
      </c>
      <c r="N758" s="173" t="s">
        <v>42</v>
      </c>
      <c r="O758" s="173" t="s">
        <v>42</v>
      </c>
      <c r="P758" s="208" t="s">
        <v>287</v>
      </c>
    </row>
    <row r="759" spans="1:16" ht="15">
      <c r="A759" s="169" t="s">
        <v>141</v>
      </c>
      <c r="B759" s="176" t="s">
        <v>458</v>
      </c>
      <c r="C759" s="176" t="s">
        <v>679</v>
      </c>
      <c r="D759" s="169" t="s">
        <v>196</v>
      </c>
      <c r="E759" s="173" t="s">
        <v>1682</v>
      </c>
      <c r="F759" s="173" t="s">
        <v>1682</v>
      </c>
      <c r="G759" s="173" t="s">
        <v>1682</v>
      </c>
      <c r="H759" s="205" t="s">
        <v>439</v>
      </c>
      <c r="I759" s="173" t="s">
        <v>1682</v>
      </c>
      <c r="J759" s="176">
        <v>1.2</v>
      </c>
      <c r="K759" s="173" t="s">
        <v>42</v>
      </c>
      <c r="L759" s="173" t="s">
        <v>42</v>
      </c>
      <c r="M759" s="173" t="s">
        <v>42</v>
      </c>
      <c r="N759" s="173" t="s">
        <v>42</v>
      </c>
      <c r="O759" s="173" t="s">
        <v>42</v>
      </c>
      <c r="P759" s="208" t="s">
        <v>288</v>
      </c>
    </row>
    <row r="760" spans="1:16" ht="15">
      <c r="A760" s="169" t="s">
        <v>141</v>
      </c>
      <c r="B760" s="176" t="s">
        <v>458</v>
      </c>
      <c r="C760" s="176" t="s">
        <v>679</v>
      </c>
      <c r="D760" s="169" t="s">
        <v>196</v>
      </c>
      <c r="E760" s="173" t="s">
        <v>1682</v>
      </c>
      <c r="F760" s="173" t="s">
        <v>1682</v>
      </c>
      <c r="G760" s="173" t="s">
        <v>1682</v>
      </c>
      <c r="H760" s="205" t="s">
        <v>439</v>
      </c>
      <c r="I760" s="173" t="s">
        <v>1682</v>
      </c>
      <c r="J760" s="176">
        <v>1.2</v>
      </c>
      <c r="K760" s="173" t="s">
        <v>42</v>
      </c>
      <c r="L760" s="173" t="s">
        <v>42</v>
      </c>
      <c r="M760" s="173" t="s">
        <v>42</v>
      </c>
      <c r="N760" s="173" t="s">
        <v>42</v>
      </c>
      <c r="O760" s="173" t="s">
        <v>42</v>
      </c>
      <c r="P760" s="208" t="s">
        <v>289</v>
      </c>
    </row>
    <row r="761" spans="1:16" ht="15">
      <c r="A761" s="169" t="s">
        <v>141</v>
      </c>
      <c r="B761" s="176" t="s">
        <v>458</v>
      </c>
      <c r="C761" s="176" t="s">
        <v>679</v>
      </c>
      <c r="D761" s="169" t="s">
        <v>196</v>
      </c>
      <c r="E761" s="173" t="s">
        <v>1682</v>
      </c>
      <c r="F761" s="173" t="s">
        <v>1682</v>
      </c>
      <c r="G761" s="173" t="s">
        <v>1682</v>
      </c>
      <c r="H761" s="205" t="s">
        <v>439</v>
      </c>
      <c r="I761" s="173" t="s">
        <v>1682</v>
      </c>
      <c r="J761" s="176">
        <v>1.2</v>
      </c>
      <c r="K761" s="173" t="s">
        <v>42</v>
      </c>
      <c r="L761" s="173" t="s">
        <v>42</v>
      </c>
      <c r="M761" s="173" t="s">
        <v>42</v>
      </c>
      <c r="N761" s="173" t="s">
        <v>42</v>
      </c>
      <c r="O761" s="173" t="s">
        <v>42</v>
      </c>
      <c r="P761" s="208" t="s">
        <v>290</v>
      </c>
    </row>
    <row r="762" spans="1:16" ht="15">
      <c r="A762" s="169" t="s">
        <v>141</v>
      </c>
      <c r="B762" s="176" t="s">
        <v>458</v>
      </c>
      <c r="C762" s="176" t="s">
        <v>679</v>
      </c>
      <c r="D762" s="169" t="s">
        <v>196</v>
      </c>
      <c r="E762" s="173" t="s">
        <v>1682</v>
      </c>
      <c r="F762" s="173" t="s">
        <v>1682</v>
      </c>
      <c r="G762" s="173" t="s">
        <v>1682</v>
      </c>
      <c r="H762" s="205" t="s">
        <v>439</v>
      </c>
      <c r="I762" s="173" t="s">
        <v>1682</v>
      </c>
      <c r="J762" s="176">
        <v>1.2</v>
      </c>
      <c r="K762" s="173" t="s">
        <v>42</v>
      </c>
      <c r="L762" s="173" t="s">
        <v>42</v>
      </c>
      <c r="M762" s="173" t="s">
        <v>42</v>
      </c>
      <c r="N762" s="173" t="s">
        <v>42</v>
      </c>
      <c r="O762" s="173" t="s">
        <v>42</v>
      </c>
      <c r="P762" s="208" t="s">
        <v>291</v>
      </c>
    </row>
    <row r="763" spans="1:16" ht="15">
      <c r="A763" s="169" t="s">
        <v>141</v>
      </c>
      <c r="B763" s="176" t="s">
        <v>458</v>
      </c>
      <c r="C763" s="176" t="s">
        <v>679</v>
      </c>
      <c r="D763" s="169" t="s">
        <v>196</v>
      </c>
      <c r="E763" s="173" t="s">
        <v>1682</v>
      </c>
      <c r="F763" s="173" t="s">
        <v>1682</v>
      </c>
      <c r="G763" s="173" t="s">
        <v>1682</v>
      </c>
      <c r="H763" s="205" t="s">
        <v>439</v>
      </c>
      <c r="I763" s="173" t="s">
        <v>1682</v>
      </c>
      <c r="J763" s="176">
        <v>1.1000000000000001</v>
      </c>
      <c r="K763" s="173" t="s">
        <v>268</v>
      </c>
      <c r="L763" s="173" t="s">
        <v>268</v>
      </c>
      <c r="M763" s="173" t="s">
        <v>268</v>
      </c>
      <c r="N763" s="173" t="s">
        <v>268</v>
      </c>
      <c r="O763" s="173" t="s">
        <v>268</v>
      </c>
      <c r="P763" s="208" t="s">
        <v>754</v>
      </c>
    </row>
    <row r="764" spans="1:16" ht="15">
      <c r="A764" s="169" t="s">
        <v>141</v>
      </c>
      <c r="B764" s="176" t="s">
        <v>458</v>
      </c>
      <c r="C764" s="176" t="s">
        <v>679</v>
      </c>
      <c r="D764" s="169" t="s">
        <v>196</v>
      </c>
      <c r="E764" s="173" t="s">
        <v>1682</v>
      </c>
      <c r="F764" s="173" t="s">
        <v>1682</v>
      </c>
      <c r="G764" s="173" t="s">
        <v>1682</v>
      </c>
      <c r="H764" s="205" t="s">
        <v>439</v>
      </c>
      <c r="I764" s="173" t="s">
        <v>1682</v>
      </c>
      <c r="J764" s="176">
        <v>1.1000000000000001</v>
      </c>
      <c r="K764" s="173" t="s">
        <v>268</v>
      </c>
      <c r="L764" s="173" t="s">
        <v>268</v>
      </c>
      <c r="M764" s="173" t="s">
        <v>268</v>
      </c>
      <c r="N764" s="173" t="s">
        <v>268</v>
      </c>
      <c r="O764" s="173" t="s">
        <v>268</v>
      </c>
      <c r="P764" s="208" t="s">
        <v>740</v>
      </c>
    </row>
    <row r="765" spans="1:16" ht="15">
      <c r="A765" s="169" t="s">
        <v>141</v>
      </c>
      <c r="B765" s="176" t="s">
        <v>458</v>
      </c>
      <c r="C765" s="176" t="s">
        <v>679</v>
      </c>
      <c r="D765" s="169" t="s">
        <v>196</v>
      </c>
      <c r="E765" s="173" t="s">
        <v>1682</v>
      </c>
      <c r="F765" s="173" t="s">
        <v>1682</v>
      </c>
      <c r="G765" s="173" t="s">
        <v>1682</v>
      </c>
      <c r="H765" s="205" t="s">
        <v>439</v>
      </c>
      <c r="I765" s="173" t="s">
        <v>1682</v>
      </c>
      <c r="J765" s="176">
        <v>1</v>
      </c>
      <c r="K765" s="173" t="s">
        <v>268</v>
      </c>
      <c r="L765" s="173" t="s">
        <v>268</v>
      </c>
      <c r="M765" s="173" t="s">
        <v>268</v>
      </c>
      <c r="N765" s="173" t="s">
        <v>268</v>
      </c>
      <c r="O765" s="173" t="s">
        <v>268</v>
      </c>
      <c r="P765" s="208" t="s">
        <v>741</v>
      </c>
    </row>
    <row r="766" spans="1:16" ht="15">
      <c r="A766" s="169" t="s">
        <v>141</v>
      </c>
      <c r="B766" s="176" t="s">
        <v>458</v>
      </c>
      <c r="C766" s="176" t="s">
        <v>679</v>
      </c>
      <c r="D766" s="169" t="s">
        <v>196</v>
      </c>
      <c r="E766" s="173" t="s">
        <v>1682</v>
      </c>
      <c r="F766" s="173" t="s">
        <v>1682</v>
      </c>
      <c r="G766" s="173" t="s">
        <v>1682</v>
      </c>
      <c r="H766" s="205" t="s">
        <v>439</v>
      </c>
      <c r="I766" s="173" t="s">
        <v>1682</v>
      </c>
      <c r="J766" s="176">
        <v>1</v>
      </c>
      <c r="K766" s="173" t="s">
        <v>268</v>
      </c>
      <c r="L766" s="173" t="s">
        <v>268</v>
      </c>
      <c r="M766" s="173" t="s">
        <v>268</v>
      </c>
      <c r="N766" s="173" t="s">
        <v>268</v>
      </c>
      <c r="O766" s="173" t="s">
        <v>268</v>
      </c>
      <c r="P766" s="208" t="s">
        <v>158</v>
      </c>
    </row>
    <row r="767" spans="1:16" ht="15">
      <c r="A767" s="169" t="s">
        <v>141</v>
      </c>
      <c r="B767" s="176" t="s">
        <v>458</v>
      </c>
      <c r="C767" s="176" t="s">
        <v>679</v>
      </c>
      <c r="D767" s="169" t="s">
        <v>196</v>
      </c>
      <c r="E767" s="173" t="s">
        <v>1682</v>
      </c>
      <c r="F767" s="173" t="s">
        <v>1682</v>
      </c>
      <c r="G767" s="173" t="s">
        <v>1682</v>
      </c>
      <c r="H767" s="205" t="s">
        <v>439</v>
      </c>
      <c r="I767" s="173" t="s">
        <v>1682</v>
      </c>
      <c r="J767" s="176">
        <v>0.9</v>
      </c>
      <c r="K767" s="173" t="s">
        <v>268</v>
      </c>
      <c r="L767" s="173" t="s">
        <v>268</v>
      </c>
      <c r="M767" s="173" t="s">
        <v>268</v>
      </c>
      <c r="N767" s="173" t="s">
        <v>268</v>
      </c>
      <c r="O767" s="173" t="s">
        <v>268</v>
      </c>
      <c r="P767" s="208" t="s">
        <v>159</v>
      </c>
    </row>
    <row r="768" spans="1:16" ht="15">
      <c r="A768" s="169" t="s">
        <v>141</v>
      </c>
      <c r="B768" s="176" t="s">
        <v>458</v>
      </c>
      <c r="C768" s="176" t="s">
        <v>679</v>
      </c>
      <c r="D768" s="169" t="s">
        <v>196</v>
      </c>
      <c r="E768" s="173" t="s">
        <v>1682</v>
      </c>
      <c r="F768" s="173" t="s">
        <v>1682</v>
      </c>
      <c r="G768" s="173" t="s">
        <v>1682</v>
      </c>
      <c r="H768" s="205" t="s">
        <v>439</v>
      </c>
      <c r="I768" s="173" t="s">
        <v>1682</v>
      </c>
      <c r="J768" s="176">
        <v>0.9</v>
      </c>
      <c r="K768" s="173" t="s">
        <v>268</v>
      </c>
      <c r="L768" s="173" t="s">
        <v>268</v>
      </c>
      <c r="M768" s="173" t="s">
        <v>268</v>
      </c>
      <c r="N768" s="173" t="s">
        <v>268</v>
      </c>
      <c r="O768" s="173" t="s">
        <v>268</v>
      </c>
      <c r="P768" s="208" t="s">
        <v>400</v>
      </c>
    </row>
    <row r="769" spans="1:16" ht="15">
      <c r="A769" s="169" t="s">
        <v>141</v>
      </c>
      <c r="B769" s="176" t="s">
        <v>458</v>
      </c>
      <c r="C769" s="176" t="s">
        <v>679</v>
      </c>
      <c r="D769" s="169" t="s">
        <v>196</v>
      </c>
      <c r="E769" s="173" t="s">
        <v>1682</v>
      </c>
      <c r="F769" s="173" t="s">
        <v>1682</v>
      </c>
      <c r="G769" s="173" t="s">
        <v>1682</v>
      </c>
      <c r="H769" s="205" t="s">
        <v>439</v>
      </c>
      <c r="I769" s="173" t="s">
        <v>1682</v>
      </c>
      <c r="J769" s="176">
        <v>0.9</v>
      </c>
      <c r="K769" s="173" t="s">
        <v>1682</v>
      </c>
      <c r="L769" s="173" t="s">
        <v>1682</v>
      </c>
      <c r="M769" s="173" t="s">
        <v>401</v>
      </c>
      <c r="N769" s="173" t="s">
        <v>401</v>
      </c>
      <c r="O769" s="173" t="s">
        <v>401</v>
      </c>
      <c r="P769" s="208" t="s">
        <v>402</v>
      </c>
    </row>
    <row r="770" spans="1:16" ht="15">
      <c r="A770" s="169" t="s">
        <v>141</v>
      </c>
      <c r="B770" s="176" t="s">
        <v>458</v>
      </c>
      <c r="C770" s="176" t="s">
        <v>679</v>
      </c>
      <c r="D770" s="169" t="s">
        <v>196</v>
      </c>
      <c r="E770" s="173" t="s">
        <v>1682</v>
      </c>
      <c r="F770" s="173" t="s">
        <v>1682</v>
      </c>
      <c r="G770" s="173" t="s">
        <v>1682</v>
      </c>
      <c r="H770" s="205" t="s">
        <v>439</v>
      </c>
      <c r="I770" s="173" t="s">
        <v>1682</v>
      </c>
      <c r="J770" s="176">
        <v>0.9</v>
      </c>
      <c r="K770" s="173" t="s">
        <v>401</v>
      </c>
      <c r="L770" s="173" t="s">
        <v>401</v>
      </c>
      <c r="M770" s="173" t="s">
        <v>401</v>
      </c>
      <c r="N770" s="173" t="s">
        <v>401</v>
      </c>
      <c r="O770" s="173" t="s">
        <v>401</v>
      </c>
      <c r="P770" s="208" t="s">
        <v>403</v>
      </c>
    </row>
    <row r="771" spans="1:16" ht="15">
      <c r="A771" s="169" t="s">
        <v>141</v>
      </c>
      <c r="B771" s="176" t="s">
        <v>458</v>
      </c>
      <c r="C771" s="176" t="s">
        <v>679</v>
      </c>
      <c r="D771" s="169" t="s">
        <v>196</v>
      </c>
      <c r="E771" s="173" t="s">
        <v>1682</v>
      </c>
      <c r="F771" s="173" t="s">
        <v>1682</v>
      </c>
      <c r="G771" s="173" t="s">
        <v>1682</v>
      </c>
      <c r="H771" s="205" t="s">
        <v>439</v>
      </c>
      <c r="I771" s="173" t="s">
        <v>1682</v>
      </c>
      <c r="J771" s="176">
        <v>0.9</v>
      </c>
      <c r="K771" s="173" t="s">
        <v>401</v>
      </c>
      <c r="L771" s="173" t="s">
        <v>401</v>
      </c>
      <c r="M771" s="173" t="s">
        <v>401</v>
      </c>
      <c r="N771" s="173" t="s">
        <v>401</v>
      </c>
      <c r="O771" s="173" t="s">
        <v>401</v>
      </c>
      <c r="P771" s="208" t="s">
        <v>276</v>
      </c>
    </row>
    <row r="772" spans="1:16" ht="15">
      <c r="A772" s="169" t="s">
        <v>141</v>
      </c>
      <c r="B772" s="176" t="s">
        <v>458</v>
      </c>
      <c r="C772" s="176" t="s">
        <v>679</v>
      </c>
      <c r="D772" s="169" t="s">
        <v>196</v>
      </c>
      <c r="E772" s="173" t="s">
        <v>1682</v>
      </c>
      <c r="F772" s="173" t="s">
        <v>1682</v>
      </c>
      <c r="G772" s="173" t="s">
        <v>1682</v>
      </c>
      <c r="H772" s="205" t="s">
        <v>439</v>
      </c>
      <c r="I772" s="173" t="s">
        <v>1682</v>
      </c>
      <c r="J772" s="176">
        <v>0.8</v>
      </c>
      <c r="K772" s="173" t="s">
        <v>401</v>
      </c>
      <c r="L772" s="173" t="s">
        <v>401</v>
      </c>
      <c r="M772" s="173" t="s">
        <v>401</v>
      </c>
      <c r="N772" s="173" t="s">
        <v>401</v>
      </c>
      <c r="O772" s="173" t="s">
        <v>401</v>
      </c>
      <c r="P772" s="208" t="s">
        <v>311</v>
      </c>
    </row>
    <row r="773" spans="1:16" ht="15">
      <c r="A773" s="169" t="s">
        <v>141</v>
      </c>
      <c r="B773" s="176" t="s">
        <v>458</v>
      </c>
      <c r="C773" s="176" t="s">
        <v>679</v>
      </c>
      <c r="D773" s="169" t="s">
        <v>196</v>
      </c>
      <c r="E773" s="173" t="s">
        <v>1682</v>
      </c>
      <c r="F773" s="173" t="s">
        <v>1682</v>
      </c>
      <c r="G773" s="173" t="s">
        <v>1682</v>
      </c>
      <c r="H773" s="205" t="s">
        <v>439</v>
      </c>
      <c r="I773" s="173" t="s">
        <v>1682</v>
      </c>
      <c r="J773" s="176">
        <v>0.8</v>
      </c>
      <c r="K773" s="173" t="s">
        <v>401</v>
      </c>
      <c r="L773" s="173" t="s">
        <v>401</v>
      </c>
      <c r="M773" s="173" t="s">
        <v>401</v>
      </c>
      <c r="N773" s="173" t="s">
        <v>401</v>
      </c>
      <c r="O773" s="173" t="s">
        <v>401</v>
      </c>
      <c r="P773" s="208" t="s">
        <v>313</v>
      </c>
    </row>
    <row r="774" spans="1:16" ht="15">
      <c r="A774" s="169" t="s">
        <v>141</v>
      </c>
      <c r="B774" s="176" t="s">
        <v>458</v>
      </c>
      <c r="C774" s="176" t="s">
        <v>679</v>
      </c>
      <c r="D774" s="169" t="s">
        <v>196</v>
      </c>
      <c r="E774" s="173" t="s">
        <v>1682</v>
      </c>
      <c r="F774" s="173" t="s">
        <v>1682</v>
      </c>
      <c r="G774" s="173" t="s">
        <v>1682</v>
      </c>
      <c r="H774" s="205" t="s">
        <v>439</v>
      </c>
      <c r="I774" s="173" t="s">
        <v>1682</v>
      </c>
      <c r="J774" s="176">
        <v>0.8</v>
      </c>
      <c r="K774" s="173" t="s">
        <v>401</v>
      </c>
      <c r="L774" s="173" t="s">
        <v>401</v>
      </c>
      <c r="M774" s="173" t="s">
        <v>401</v>
      </c>
      <c r="N774" s="173" t="s">
        <v>401</v>
      </c>
      <c r="O774" s="173" t="s">
        <v>401</v>
      </c>
      <c r="P774" s="208" t="s">
        <v>314</v>
      </c>
    </row>
    <row r="775" spans="1:16" ht="15">
      <c r="A775" s="169" t="s">
        <v>141</v>
      </c>
      <c r="B775" s="176" t="s">
        <v>458</v>
      </c>
      <c r="C775" s="176" t="s">
        <v>679</v>
      </c>
      <c r="D775" s="169" t="s">
        <v>196</v>
      </c>
      <c r="E775" s="173" t="s">
        <v>1682</v>
      </c>
      <c r="F775" s="173" t="s">
        <v>1682</v>
      </c>
      <c r="G775" s="173" t="s">
        <v>1682</v>
      </c>
      <c r="H775" s="205" t="s">
        <v>439</v>
      </c>
      <c r="I775" s="173" t="s">
        <v>1682</v>
      </c>
      <c r="J775" s="176">
        <v>0.8</v>
      </c>
      <c r="K775" s="173" t="s">
        <v>401</v>
      </c>
      <c r="L775" s="173" t="s">
        <v>401</v>
      </c>
      <c r="M775" s="173" t="s">
        <v>401</v>
      </c>
      <c r="N775" s="173" t="s">
        <v>401</v>
      </c>
      <c r="O775" s="173" t="s">
        <v>401</v>
      </c>
      <c r="P775" s="208" t="s">
        <v>300</v>
      </c>
    </row>
    <row r="776" spans="1:16" ht="15">
      <c r="A776" s="169" t="s">
        <v>141</v>
      </c>
      <c r="B776" s="176" t="s">
        <v>458</v>
      </c>
      <c r="C776" s="176" t="s">
        <v>679</v>
      </c>
      <c r="D776" s="169" t="s">
        <v>196</v>
      </c>
      <c r="E776" s="173" t="s">
        <v>1682</v>
      </c>
      <c r="F776" s="173" t="s">
        <v>1682</v>
      </c>
      <c r="G776" s="173" t="s">
        <v>1682</v>
      </c>
      <c r="H776" s="205" t="s">
        <v>439</v>
      </c>
      <c r="I776" s="173" t="s">
        <v>1682</v>
      </c>
      <c r="J776" s="176">
        <v>0.8</v>
      </c>
      <c r="K776" s="173" t="s">
        <v>401</v>
      </c>
      <c r="L776" s="173" t="s">
        <v>401</v>
      </c>
      <c r="M776" s="173" t="s">
        <v>401</v>
      </c>
      <c r="N776" s="173" t="s">
        <v>401</v>
      </c>
      <c r="O776" s="173" t="s">
        <v>401</v>
      </c>
      <c r="P776" s="208" t="s">
        <v>301</v>
      </c>
    </row>
    <row r="777" spans="1:16" ht="15">
      <c r="A777" s="169" t="s">
        <v>141</v>
      </c>
      <c r="B777" s="176" t="s">
        <v>458</v>
      </c>
      <c r="C777" s="176" t="s">
        <v>679</v>
      </c>
      <c r="D777" s="169" t="s">
        <v>196</v>
      </c>
      <c r="E777" s="173" t="s">
        <v>1682</v>
      </c>
      <c r="F777" s="173" t="s">
        <v>1682</v>
      </c>
      <c r="G777" s="173" t="s">
        <v>1682</v>
      </c>
      <c r="H777" s="205" t="s">
        <v>439</v>
      </c>
      <c r="I777" s="173" t="s">
        <v>1682</v>
      </c>
      <c r="J777" s="176">
        <v>0.8</v>
      </c>
      <c r="K777" s="173" t="s">
        <v>401</v>
      </c>
      <c r="L777" s="173" t="s">
        <v>401</v>
      </c>
      <c r="M777" s="173" t="s">
        <v>401</v>
      </c>
      <c r="N777" s="173" t="s">
        <v>401</v>
      </c>
      <c r="O777" s="173" t="s">
        <v>401</v>
      </c>
      <c r="P777" s="208" t="s">
        <v>535</v>
      </c>
    </row>
    <row r="778" spans="1:16" ht="15">
      <c r="A778" s="169" t="s">
        <v>141</v>
      </c>
      <c r="B778" s="176" t="s">
        <v>458</v>
      </c>
      <c r="C778" s="176" t="s">
        <v>679</v>
      </c>
      <c r="D778" s="169" t="s">
        <v>196</v>
      </c>
      <c r="E778" s="173" t="s">
        <v>1682</v>
      </c>
      <c r="F778" s="173" t="s">
        <v>1682</v>
      </c>
      <c r="G778" s="173" t="s">
        <v>1682</v>
      </c>
      <c r="H778" s="205" t="s">
        <v>439</v>
      </c>
      <c r="I778" s="173" t="s">
        <v>1682</v>
      </c>
      <c r="J778" s="176">
        <v>0.8</v>
      </c>
      <c r="K778" s="173" t="s">
        <v>401</v>
      </c>
      <c r="L778" s="173" t="s">
        <v>401</v>
      </c>
      <c r="M778" s="173" t="s">
        <v>401</v>
      </c>
      <c r="N778" s="173" t="s">
        <v>401</v>
      </c>
      <c r="O778" s="173" t="s">
        <v>401</v>
      </c>
      <c r="P778" s="208" t="s">
        <v>536</v>
      </c>
    </row>
    <row r="779" spans="1:16" ht="15">
      <c r="A779" s="169" t="s">
        <v>141</v>
      </c>
      <c r="B779" s="176" t="s">
        <v>458</v>
      </c>
      <c r="C779" s="176" t="s">
        <v>679</v>
      </c>
      <c r="D779" s="169" t="s">
        <v>196</v>
      </c>
      <c r="E779" s="173" t="s">
        <v>1682</v>
      </c>
      <c r="F779" s="173" t="s">
        <v>1682</v>
      </c>
      <c r="G779" s="173" t="s">
        <v>1682</v>
      </c>
      <c r="H779" s="205" t="s">
        <v>439</v>
      </c>
      <c r="I779" s="173" t="s">
        <v>1682</v>
      </c>
      <c r="J779" s="176">
        <v>0.7</v>
      </c>
      <c r="K779" s="173" t="s">
        <v>401</v>
      </c>
      <c r="L779" s="173" t="s">
        <v>401</v>
      </c>
      <c r="M779" s="173" t="s">
        <v>401</v>
      </c>
      <c r="N779" s="173" t="s">
        <v>401</v>
      </c>
      <c r="O779" s="173" t="s">
        <v>401</v>
      </c>
      <c r="P779" s="208" t="s">
        <v>537</v>
      </c>
    </row>
    <row r="780" spans="1:16" ht="15">
      <c r="A780" s="169" t="s">
        <v>141</v>
      </c>
      <c r="B780" s="176" t="s">
        <v>458</v>
      </c>
      <c r="C780" s="176" t="s">
        <v>679</v>
      </c>
      <c r="D780" s="169" t="s">
        <v>196</v>
      </c>
      <c r="E780" s="173" t="s">
        <v>1682</v>
      </c>
      <c r="F780" s="173" t="s">
        <v>1682</v>
      </c>
      <c r="G780" s="173" t="s">
        <v>1682</v>
      </c>
      <c r="H780" s="205" t="s">
        <v>439</v>
      </c>
      <c r="I780" s="173" t="s">
        <v>1682</v>
      </c>
      <c r="J780" s="176">
        <v>0.7</v>
      </c>
      <c r="K780" s="173" t="s">
        <v>401</v>
      </c>
      <c r="L780" s="173" t="s">
        <v>401</v>
      </c>
      <c r="M780" s="173" t="s">
        <v>401</v>
      </c>
      <c r="N780" s="173" t="s">
        <v>401</v>
      </c>
      <c r="O780" s="173" t="s">
        <v>401</v>
      </c>
      <c r="P780" s="208" t="s">
        <v>258</v>
      </c>
    </row>
    <row r="781" spans="1:16" ht="15">
      <c r="A781" s="169" t="s">
        <v>141</v>
      </c>
      <c r="B781" s="176" t="s">
        <v>458</v>
      </c>
      <c r="C781" s="176" t="s">
        <v>679</v>
      </c>
      <c r="D781" s="169" t="s">
        <v>196</v>
      </c>
      <c r="E781" s="173" t="s">
        <v>1682</v>
      </c>
      <c r="F781" s="173" t="s">
        <v>1682</v>
      </c>
      <c r="G781" s="173" t="s">
        <v>1682</v>
      </c>
      <c r="H781" s="205" t="s">
        <v>439</v>
      </c>
      <c r="I781" s="173" t="s">
        <v>1682</v>
      </c>
      <c r="J781" s="176">
        <v>0.7</v>
      </c>
      <c r="K781" s="173" t="s">
        <v>401</v>
      </c>
      <c r="L781" s="173" t="s">
        <v>401</v>
      </c>
      <c r="M781" s="173" t="s">
        <v>401</v>
      </c>
      <c r="N781" s="173" t="s">
        <v>401</v>
      </c>
      <c r="O781" s="173" t="s">
        <v>401</v>
      </c>
      <c r="P781" s="208" t="s">
        <v>495</v>
      </c>
    </row>
    <row r="782" spans="1:16" ht="15">
      <c r="A782" s="169" t="s">
        <v>141</v>
      </c>
      <c r="B782" s="176" t="s">
        <v>458</v>
      </c>
      <c r="C782" s="176" t="s">
        <v>679</v>
      </c>
      <c r="D782" s="169" t="s">
        <v>196</v>
      </c>
      <c r="E782" s="173" t="s">
        <v>1682</v>
      </c>
      <c r="F782" s="173" t="s">
        <v>1682</v>
      </c>
      <c r="G782" s="173" t="s">
        <v>1682</v>
      </c>
      <c r="H782" s="205" t="s">
        <v>439</v>
      </c>
      <c r="I782" s="173" t="s">
        <v>1682</v>
      </c>
      <c r="J782" s="176">
        <v>0.7</v>
      </c>
      <c r="K782" s="173" t="s">
        <v>401</v>
      </c>
      <c r="L782" s="173" t="s">
        <v>401</v>
      </c>
      <c r="M782" s="173" t="s">
        <v>401</v>
      </c>
      <c r="N782" s="173" t="s">
        <v>401</v>
      </c>
      <c r="O782" s="173" t="s">
        <v>401</v>
      </c>
      <c r="P782" s="208" t="s">
        <v>166</v>
      </c>
    </row>
    <row r="783" spans="1:16" ht="15">
      <c r="A783" s="169" t="s">
        <v>141</v>
      </c>
      <c r="B783" s="176" t="s">
        <v>458</v>
      </c>
      <c r="C783" s="176" t="s">
        <v>679</v>
      </c>
      <c r="D783" s="169" t="s">
        <v>196</v>
      </c>
      <c r="E783" s="173" t="s">
        <v>1682</v>
      </c>
      <c r="F783" s="173" t="s">
        <v>1682</v>
      </c>
      <c r="G783" s="173" t="s">
        <v>1682</v>
      </c>
      <c r="H783" s="205" t="s">
        <v>439</v>
      </c>
      <c r="I783" s="173" t="s">
        <v>1682</v>
      </c>
      <c r="J783" s="176">
        <v>0.7</v>
      </c>
      <c r="K783" s="173" t="s">
        <v>401</v>
      </c>
      <c r="L783" s="173" t="s">
        <v>401</v>
      </c>
      <c r="M783" s="173" t="s">
        <v>401</v>
      </c>
      <c r="N783" s="173" t="s">
        <v>401</v>
      </c>
      <c r="O783" s="173" t="s">
        <v>401</v>
      </c>
      <c r="P783" s="208" t="s">
        <v>167</v>
      </c>
    </row>
    <row r="784" spans="1:16" ht="15">
      <c r="A784" s="169" t="s">
        <v>141</v>
      </c>
      <c r="B784" s="176" t="s">
        <v>458</v>
      </c>
      <c r="C784" s="176" t="s">
        <v>679</v>
      </c>
      <c r="D784" s="169" t="s">
        <v>196</v>
      </c>
      <c r="E784" s="173" t="s">
        <v>1682</v>
      </c>
      <c r="F784" s="173" t="s">
        <v>1682</v>
      </c>
      <c r="G784" s="173" t="s">
        <v>1682</v>
      </c>
      <c r="H784" s="205" t="s">
        <v>439</v>
      </c>
      <c r="I784" s="173" t="s">
        <v>1682</v>
      </c>
      <c r="J784" s="176">
        <v>0.7</v>
      </c>
      <c r="K784" s="173" t="s">
        <v>401</v>
      </c>
      <c r="L784" s="173" t="s">
        <v>401</v>
      </c>
      <c r="M784" s="173" t="s">
        <v>401</v>
      </c>
      <c r="N784" s="173" t="s">
        <v>401</v>
      </c>
      <c r="O784" s="173" t="s">
        <v>401</v>
      </c>
      <c r="P784" s="208" t="s">
        <v>18</v>
      </c>
    </row>
    <row r="785" spans="1:16" ht="15">
      <c r="A785" s="169" t="s">
        <v>141</v>
      </c>
      <c r="B785" s="176" t="s">
        <v>458</v>
      </c>
      <c r="C785" s="176" t="s">
        <v>679</v>
      </c>
      <c r="D785" s="169" t="s">
        <v>196</v>
      </c>
      <c r="E785" s="173" t="s">
        <v>1682</v>
      </c>
      <c r="F785" s="173" t="s">
        <v>1682</v>
      </c>
      <c r="G785" s="173" t="s">
        <v>1682</v>
      </c>
      <c r="H785" s="205" t="s">
        <v>439</v>
      </c>
      <c r="I785" s="173" t="s">
        <v>1682</v>
      </c>
      <c r="J785" s="176">
        <v>0.7</v>
      </c>
      <c r="K785" s="173" t="s">
        <v>401</v>
      </c>
      <c r="L785" s="173" t="s">
        <v>401</v>
      </c>
      <c r="M785" s="173" t="s">
        <v>401</v>
      </c>
      <c r="N785" s="173" t="s">
        <v>401</v>
      </c>
      <c r="O785" s="173" t="s">
        <v>401</v>
      </c>
      <c r="P785" s="208" t="s">
        <v>19</v>
      </c>
    </row>
    <row r="786" spans="1:16" ht="15">
      <c r="A786" s="169" t="s">
        <v>141</v>
      </c>
      <c r="B786" s="176" t="s">
        <v>458</v>
      </c>
      <c r="C786" s="176" t="s">
        <v>679</v>
      </c>
      <c r="D786" s="169" t="s">
        <v>196</v>
      </c>
      <c r="E786" s="173" t="s">
        <v>1682</v>
      </c>
      <c r="F786" s="173" t="s">
        <v>1682</v>
      </c>
      <c r="G786" s="173" t="s">
        <v>1682</v>
      </c>
      <c r="H786" s="205" t="s">
        <v>439</v>
      </c>
      <c r="I786" s="173" t="s">
        <v>1682</v>
      </c>
      <c r="J786" s="176">
        <v>0.7</v>
      </c>
      <c r="K786" s="173" t="s">
        <v>401</v>
      </c>
      <c r="L786" s="173" t="s">
        <v>401</v>
      </c>
      <c r="M786" s="173" t="s">
        <v>401</v>
      </c>
      <c r="N786" s="173" t="s">
        <v>401</v>
      </c>
      <c r="O786" s="173" t="s">
        <v>401</v>
      </c>
      <c r="P786" s="208" t="s">
        <v>20</v>
      </c>
    </row>
    <row r="787" spans="1:16" ht="15">
      <c r="A787" s="169" t="s">
        <v>141</v>
      </c>
      <c r="B787" s="176" t="s">
        <v>458</v>
      </c>
      <c r="C787" s="176" t="s">
        <v>679</v>
      </c>
      <c r="D787" s="169" t="s">
        <v>196</v>
      </c>
      <c r="E787" s="173" t="s">
        <v>1682</v>
      </c>
      <c r="F787" s="173" t="s">
        <v>1682</v>
      </c>
      <c r="G787" s="173" t="s">
        <v>1682</v>
      </c>
      <c r="H787" s="205" t="s">
        <v>439</v>
      </c>
      <c r="I787" s="173" t="s">
        <v>1682</v>
      </c>
      <c r="J787" s="176">
        <v>0.7</v>
      </c>
      <c r="K787" s="173" t="s">
        <v>401</v>
      </c>
      <c r="L787" s="173" t="s">
        <v>401</v>
      </c>
      <c r="M787" s="173" t="s">
        <v>401</v>
      </c>
      <c r="N787" s="173" t="s">
        <v>401</v>
      </c>
      <c r="O787" s="173" t="s">
        <v>401</v>
      </c>
      <c r="P787" s="208" t="s">
        <v>431</v>
      </c>
    </row>
    <row r="788" spans="1:16" ht="15">
      <c r="A788" s="169" t="s">
        <v>141</v>
      </c>
      <c r="B788" s="176" t="s">
        <v>458</v>
      </c>
      <c r="C788" s="176" t="s">
        <v>679</v>
      </c>
      <c r="D788" s="169" t="s">
        <v>196</v>
      </c>
      <c r="E788" s="173" t="s">
        <v>1682</v>
      </c>
      <c r="F788" s="173" t="s">
        <v>1682</v>
      </c>
      <c r="G788" s="173" t="s">
        <v>1682</v>
      </c>
      <c r="H788" s="205" t="s">
        <v>439</v>
      </c>
      <c r="I788" s="173" t="s">
        <v>1682</v>
      </c>
      <c r="J788" s="176">
        <v>0.7</v>
      </c>
      <c r="K788" s="173" t="s">
        <v>401</v>
      </c>
      <c r="L788" s="173" t="s">
        <v>401</v>
      </c>
      <c r="M788" s="173" t="s">
        <v>401</v>
      </c>
      <c r="N788" s="173" t="s">
        <v>401</v>
      </c>
      <c r="O788" s="173" t="s">
        <v>401</v>
      </c>
      <c r="P788" s="208" t="s">
        <v>432</v>
      </c>
    </row>
    <row r="789" spans="1:16" ht="15">
      <c r="A789" s="169" t="s">
        <v>141</v>
      </c>
      <c r="B789" s="176" t="s">
        <v>458</v>
      </c>
      <c r="C789" s="176" t="s">
        <v>679</v>
      </c>
      <c r="D789" s="169" t="s">
        <v>196</v>
      </c>
      <c r="E789" s="173" t="s">
        <v>1682</v>
      </c>
      <c r="F789" s="173" t="s">
        <v>1682</v>
      </c>
      <c r="G789" s="173" t="s">
        <v>1682</v>
      </c>
      <c r="H789" s="205" t="s">
        <v>439</v>
      </c>
      <c r="I789" s="173" t="s">
        <v>1682</v>
      </c>
      <c r="J789" s="176">
        <v>0.6</v>
      </c>
      <c r="K789" s="173" t="s">
        <v>401</v>
      </c>
      <c r="L789" s="173" t="s">
        <v>401</v>
      </c>
      <c r="M789" s="173" t="s">
        <v>401</v>
      </c>
      <c r="N789" s="173" t="s">
        <v>401</v>
      </c>
      <c r="O789" s="173" t="s">
        <v>401</v>
      </c>
      <c r="P789" s="208" t="s">
        <v>433</v>
      </c>
    </row>
    <row r="790" spans="1:16" ht="15">
      <c r="A790" s="169" t="s">
        <v>141</v>
      </c>
      <c r="B790" s="176" t="s">
        <v>458</v>
      </c>
      <c r="C790" s="176" t="s">
        <v>679</v>
      </c>
      <c r="D790" s="169" t="s">
        <v>196</v>
      </c>
      <c r="E790" s="173" t="s">
        <v>1682</v>
      </c>
      <c r="F790" s="173" t="s">
        <v>1682</v>
      </c>
      <c r="G790" s="173" t="s">
        <v>1682</v>
      </c>
      <c r="H790" s="205" t="s">
        <v>439</v>
      </c>
      <c r="I790" s="173" t="s">
        <v>1682</v>
      </c>
      <c r="J790" s="176">
        <v>0.6</v>
      </c>
      <c r="K790" s="173" t="s">
        <v>401</v>
      </c>
      <c r="L790" s="173" t="s">
        <v>401</v>
      </c>
      <c r="M790" s="173" t="s">
        <v>401</v>
      </c>
      <c r="N790" s="173" t="s">
        <v>401</v>
      </c>
      <c r="O790" s="173" t="s">
        <v>401</v>
      </c>
      <c r="P790" s="208" t="s">
        <v>569</v>
      </c>
    </row>
    <row r="791" spans="1:16" ht="15">
      <c r="A791" s="169" t="s">
        <v>141</v>
      </c>
      <c r="B791" s="176" t="s">
        <v>458</v>
      </c>
      <c r="C791" s="176" t="s">
        <v>679</v>
      </c>
      <c r="D791" s="169" t="s">
        <v>196</v>
      </c>
      <c r="E791" s="173" t="s">
        <v>1682</v>
      </c>
      <c r="F791" s="173" t="s">
        <v>1682</v>
      </c>
      <c r="G791" s="173" t="s">
        <v>1682</v>
      </c>
      <c r="H791" s="205" t="s">
        <v>439</v>
      </c>
      <c r="I791" s="173" t="s">
        <v>1682</v>
      </c>
      <c r="J791" s="176">
        <v>0.6</v>
      </c>
      <c r="K791" s="173" t="s">
        <v>401</v>
      </c>
      <c r="L791" s="173" t="s">
        <v>401</v>
      </c>
      <c r="M791" s="173" t="s">
        <v>401</v>
      </c>
      <c r="N791" s="173" t="s">
        <v>401</v>
      </c>
      <c r="O791" s="173" t="s">
        <v>401</v>
      </c>
      <c r="P791" s="208" t="s">
        <v>459</v>
      </c>
    </row>
    <row r="792" spans="1:16" ht="15">
      <c r="A792" s="169" t="s">
        <v>141</v>
      </c>
      <c r="B792" s="176" t="s">
        <v>458</v>
      </c>
      <c r="C792" s="176" t="s">
        <v>679</v>
      </c>
      <c r="D792" s="169" t="s">
        <v>196</v>
      </c>
      <c r="E792" s="173" t="s">
        <v>1682</v>
      </c>
      <c r="F792" s="173" t="s">
        <v>1682</v>
      </c>
      <c r="G792" s="173" t="s">
        <v>1682</v>
      </c>
      <c r="H792" s="205" t="s">
        <v>439</v>
      </c>
      <c r="I792" s="173" t="s">
        <v>1682</v>
      </c>
      <c r="J792" s="176">
        <v>0.6</v>
      </c>
      <c r="K792" s="173" t="s">
        <v>401</v>
      </c>
      <c r="L792" s="173" t="s">
        <v>401</v>
      </c>
      <c r="M792" s="173" t="s">
        <v>401</v>
      </c>
      <c r="N792" s="173" t="s">
        <v>401</v>
      </c>
      <c r="O792" s="173" t="s">
        <v>401</v>
      </c>
      <c r="P792" s="208" t="s">
        <v>473</v>
      </c>
    </row>
    <row r="793" spans="1:16" ht="15">
      <c r="A793" s="169" t="s">
        <v>141</v>
      </c>
      <c r="B793" s="176" t="s">
        <v>458</v>
      </c>
      <c r="C793" s="176" t="s">
        <v>679</v>
      </c>
      <c r="D793" s="169" t="s">
        <v>196</v>
      </c>
      <c r="E793" s="173" t="s">
        <v>1682</v>
      </c>
      <c r="F793" s="173" t="s">
        <v>1682</v>
      </c>
      <c r="G793" s="173" t="s">
        <v>1682</v>
      </c>
      <c r="H793" s="205" t="s">
        <v>439</v>
      </c>
      <c r="I793" s="173" t="s">
        <v>1682</v>
      </c>
      <c r="J793" s="176">
        <v>0.6</v>
      </c>
      <c r="K793" s="173" t="s">
        <v>401</v>
      </c>
      <c r="L793" s="173" t="s">
        <v>401</v>
      </c>
      <c r="M793" s="173" t="s">
        <v>401</v>
      </c>
      <c r="N793" s="173" t="s">
        <v>401</v>
      </c>
      <c r="O793" s="173" t="s">
        <v>401</v>
      </c>
      <c r="P793" s="208" t="s">
        <v>244</v>
      </c>
    </row>
    <row r="794" spans="1:16" ht="15">
      <c r="A794" s="169" t="s">
        <v>141</v>
      </c>
      <c r="B794" s="176" t="s">
        <v>458</v>
      </c>
      <c r="C794" s="176" t="s">
        <v>679</v>
      </c>
      <c r="D794" s="169" t="s">
        <v>196</v>
      </c>
      <c r="E794" s="173" t="s">
        <v>1682</v>
      </c>
      <c r="F794" s="173" t="s">
        <v>1682</v>
      </c>
      <c r="G794" s="173" t="s">
        <v>1682</v>
      </c>
      <c r="H794" s="205" t="s">
        <v>439</v>
      </c>
      <c r="I794" s="173" t="s">
        <v>1682</v>
      </c>
      <c r="J794" s="176">
        <v>0.5</v>
      </c>
      <c r="K794" s="173" t="s">
        <v>401</v>
      </c>
      <c r="L794" s="173" t="s">
        <v>401</v>
      </c>
      <c r="M794" s="173" t="s">
        <v>401</v>
      </c>
      <c r="N794" s="173" t="s">
        <v>401</v>
      </c>
      <c r="O794" s="173" t="s">
        <v>401</v>
      </c>
      <c r="P794" s="208" t="s">
        <v>245</v>
      </c>
    </row>
    <row r="795" spans="1:16" ht="15">
      <c r="A795" s="169" t="s">
        <v>141</v>
      </c>
      <c r="B795" s="176" t="s">
        <v>458</v>
      </c>
      <c r="C795" s="176" t="s">
        <v>679</v>
      </c>
      <c r="D795" s="169" t="s">
        <v>196</v>
      </c>
      <c r="E795" s="173" t="s">
        <v>1682</v>
      </c>
      <c r="F795" s="173" t="s">
        <v>1682</v>
      </c>
      <c r="G795" s="173" t="s">
        <v>1682</v>
      </c>
      <c r="H795" s="205" t="s">
        <v>439</v>
      </c>
      <c r="I795" s="173" t="s">
        <v>1682</v>
      </c>
      <c r="J795" s="176">
        <v>0.5</v>
      </c>
      <c r="K795" s="173" t="s">
        <v>401</v>
      </c>
      <c r="L795" s="173" t="s">
        <v>401</v>
      </c>
      <c r="M795" s="173" t="s">
        <v>401</v>
      </c>
      <c r="N795" s="173" t="s">
        <v>401</v>
      </c>
      <c r="O795" s="173" t="s">
        <v>401</v>
      </c>
      <c r="P795" s="208" t="s">
        <v>112</v>
      </c>
    </row>
    <row r="796" spans="1:16" ht="15">
      <c r="A796" s="169" t="s">
        <v>141</v>
      </c>
      <c r="B796" s="176" t="s">
        <v>458</v>
      </c>
      <c r="C796" s="176" t="s">
        <v>679</v>
      </c>
      <c r="D796" s="169" t="s">
        <v>196</v>
      </c>
      <c r="E796" s="173" t="s">
        <v>1682</v>
      </c>
      <c r="F796" s="173" t="s">
        <v>1682</v>
      </c>
      <c r="G796" s="173" t="s">
        <v>1682</v>
      </c>
      <c r="H796" s="205" t="s">
        <v>439</v>
      </c>
      <c r="I796" s="173" t="s">
        <v>1682</v>
      </c>
      <c r="J796" s="176">
        <v>0.5</v>
      </c>
      <c r="K796" s="173" t="s">
        <v>401</v>
      </c>
      <c r="L796" s="173" t="s">
        <v>401</v>
      </c>
      <c r="M796" s="173" t="s">
        <v>401</v>
      </c>
      <c r="N796" s="173" t="s">
        <v>401</v>
      </c>
      <c r="O796" s="173" t="s">
        <v>401</v>
      </c>
      <c r="P796" s="208" t="s">
        <v>113</v>
      </c>
    </row>
    <row r="797" spans="1:16" ht="15">
      <c r="A797" s="169" t="s">
        <v>141</v>
      </c>
      <c r="B797" s="176" t="s">
        <v>458</v>
      </c>
      <c r="C797" s="176" t="s">
        <v>679</v>
      </c>
      <c r="D797" s="169" t="s">
        <v>196</v>
      </c>
      <c r="E797" s="173" t="s">
        <v>1682</v>
      </c>
      <c r="F797" s="173" t="s">
        <v>1682</v>
      </c>
      <c r="G797" s="173" t="s">
        <v>1682</v>
      </c>
      <c r="H797" s="205" t="s">
        <v>439</v>
      </c>
      <c r="I797" s="173" t="s">
        <v>1682</v>
      </c>
      <c r="J797" s="176">
        <v>0.5</v>
      </c>
      <c r="K797" s="173" t="s">
        <v>401</v>
      </c>
      <c r="L797" s="173" t="s">
        <v>401</v>
      </c>
      <c r="M797" s="173" t="s">
        <v>401</v>
      </c>
      <c r="N797" s="173" t="s">
        <v>401</v>
      </c>
      <c r="O797" s="173" t="s">
        <v>401</v>
      </c>
      <c r="P797" s="208" t="s">
        <v>114</v>
      </c>
    </row>
    <row r="798" spans="1:16" ht="15">
      <c r="A798" s="169" t="s">
        <v>141</v>
      </c>
      <c r="B798" s="176" t="s">
        <v>458</v>
      </c>
      <c r="C798" s="176" t="s">
        <v>679</v>
      </c>
      <c r="D798" s="169" t="s">
        <v>196</v>
      </c>
      <c r="E798" s="173" t="s">
        <v>1682</v>
      </c>
      <c r="F798" s="173" t="s">
        <v>1682</v>
      </c>
      <c r="G798" s="173" t="s">
        <v>1682</v>
      </c>
      <c r="H798" s="205" t="s">
        <v>439</v>
      </c>
      <c r="I798" s="173" t="s">
        <v>1682</v>
      </c>
      <c r="J798" s="176">
        <v>0.4</v>
      </c>
      <c r="K798" s="173" t="s">
        <v>401</v>
      </c>
      <c r="L798" s="173" t="s">
        <v>401</v>
      </c>
      <c r="M798" s="173" t="s">
        <v>401</v>
      </c>
      <c r="N798" s="173" t="s">
        <v>401</v>
      </c>
      <c r="O798" s="173" t="s">
        <v>401</v>
      </c>
      <c r="P798" s="208" t="s">
        <v>115</v>
      </c>
    </row>
    <row r="799" spans="1:16" ht="15">
      <c r="A799" s="169" t="s">
        <v>141</v>
      </c>
      <c r="B799" s="176" t="s">
        <v>458</v>
      </c>
      <c r="C799" s="176" t="s">
        <v>679</v>
      </c>
      <c r="D799" s="169" t="s">
        <v>196</v>
      </c>
      <c r="E799" s="173" t="s">
        <v>1682</v>
      </c>
      <c r="F799" s="173" t="s">
        <v>1682</v>
      </c>
      <c r="G799" s="173" t="s">
        <v>1682</v>
      </c>
      <c r="H799" s="205" t="s">
        <v>439</v>
      </c>
      <c r="I799" s="173" t="s">
        <v>1682</v>
      </c>
      <c r="J799" s="176">
        <v>0.4</v>
      </c>
      <c r="K799" s="173" t="s">
        <v>401</v>
      </c>
      <c r="L799" s="173" t="s">
        <v>401</v>
      </c>
      <c r="M799" s="173" t="s">
        <v>401</v>
      </c>
      <c r="N799" s="173" t="s">
        <v>401</v>
      </c>
      <c r="O799" s="173" t="s">
        <v>401</v>
      </c>
      <c r="P799" s="208" t="s">
        <v>116</v>
      </c>
    </row>
    <row r="800" spans="1:16" ht="15">
      <c r="A800" s="169" t="s">
        <v>141</v>
      </c>
      <c r="B800" s="176" t="s">
        <v>458</v>
      </c>
      <c r="C800" s="176" t="s">
        <v>679</v>
      </c>
      <c r="D800" s="169" t="s">
        <v>196</v>
      </c>
      <c r="E800" s="173" t="s">
        <v>1682</v>
      </c>
      <c r="F800" s="173" t="s">
        <v>1682</v>
      </c>
      <c r="G800" s="173" t="s">
        <v>1682</v>
      </c>
      <c r="H800" s="205" t="s">
        <v>439</v>
      </c>
      <c r="I800" s="173" t="s">
        <v>1682</v>
      </c>
      <c r="J800" s="176">
        <v>0.4</v>
      </c>
      <c r="K800" s="173" t="s">
        <v>401</v>
      </c>
      <c r="L800" s="173" t="s">
        <v>401</v>
      </c>
      <c r="M800" s="173" t="s">
        <v>401</v>
      </c>
      <c r="N800" s="173" t="s">
        <v>401</v>
      </c>
      <c r="O800" s="173" t="s">
        <v>401</v>
      </c>
      <c r="P800" s="208" t="s">
        <v>319</v>
      </c>
    </row>
    <row r="801" spans="1:16" ht="15">
      <c r="A801" s="169" t="s">
        <v>141</v>
      </c>
      <c r="B801" s="176" t="s">
        <v>458</v>
      </c>
      <c r="C801" s="176" t="s">
        <v>679</v>
      </c>
      <c r="D801" s="169" t="s">
        <v>196</v>
      </c>
      <c r="E801" s="173" t="s">
        <v>1682</v>
      </c>
      <c r="F801" s="173" t="s">
        <v>1682</v>
      </c>
      <c r="G801" s="173" t="s">
        <v>1682</v>
      </c>
      <c r="H801" s="205" t="s">
        <v>439</v>
      </c>
      <c r="I801" s="173" t="s">
        <v>1682</v>
      </c>
      <c r="J801" s="176">
        <v>0.4</v>
      </c>
      <c r="K801" s="173" t="s">
        <v>401</v>
      </c>
      <c r="L801" s="173" t="s">
        <v>401</v>
      </c>
      <c r="M801" s="173" t="s">
        <v>401</v>
      </c>
      <c r="N801" s="173" t="s">
        <v>401</v>
      </c>
      <c r="O801" s="173" t="s">
        <v>401</v>
      </c>
      <c r="P801" s="208" t="s">
        <v>331</v>
      </c>
    </row>
    <row r="802" spans="1:16" ht="15">
      <c r="A802" s="169" t="s">
        <v>141</v>
      </c>
      <c r="B802" s="176" t="s">
        <v>458</v>
      </c>
      <c r="C802" s="176" t="s">
        <v>679</v>
      </c>
      <c r="D802" s="169" t="s">
        <v>196</v>
      </c>
      <c r="E802" s="173" t="s">
        <v>1682</v>
      </c>
      <c r="F802" s="173" t="s">
        <v>1682</v>
      </c>
      <c r="G802" s="173" t="s">
        <v>1682</v>
      </c>
      <c r="H802" s="205" t="s">
        <v>439</v>
      </c>
      <c r="I802" s="173" t="s">
        <v>1682</v>
      </c>
      <c r="J802" s="176">
        <v>0.4</v>
      </c>
      <c r="K802" s="173" t="s">
        <v>401</v>
      </c>
      <c r="L802" s="173" t="s">
        <v>401</v>
      </c>
      <c r="M802" s="173" t="s">
        <v>401</v>
      </c>
      <c r="N802" s="173" t="s">
        <v>401</v>
      </c>
      <c r="O802" s="173" t="s">
        <v>401</v>
      </c>
      <c r="P802" s="208" t="s">
        <v>584</v>
      </c>
    </row>
    <row r="803" spans="1:16" ht="15">
      <c r="A803" s="169" t="s">
        <v>141</v>
      </c>
      <c r="B803" s="176" t="s">
        <v>458</v>
      </c>
      <c r="C803" s="176" t="s">
        <v>679</v>
      </c>
      <c r="D803" s="169" t="s">
        <v>196</v>
      </c>
      <c r="E803" s="173" t="s">
        <v>1682</v>
      </c>
      <c r="F803" s="173" t="s">
        <v>1682</v>
      </c>
      <c r="G803" s="173" t="s">
        <v>1682</v>
      </c>
      <c r="H803" s="205" t="s">
        <v>439</v>
      </c>
      <c r="I803" s="173" t="s">
        <v>1682</v>
      </c>
      <c r="J803" s="176">
        <v>0.3</v>
      </c>
      <c r="K803" s="173" t="s">
        <v>401</v>
      </c>
      <c r="L803" s="173" t="s">
        <v>401</v>
      </c>
      <c r="M803" s="173" t="s">
        <v>401</v>
      </c>
      <c r="N803" s="173" t="s">
        <v>401</v>
      </c>
      <c r="O803" s="173" t="s">
        <v>401</v>
      </c>
      <c r="P803" s="208" t="s">
        <v>246</v>
      </c>
    </row>
    <row r="804" spans="1:16" ht="15">
      <c r="A804" s="169" t="s">
        <v>141</v>
      </c>
      <c r="B804" s="176" t="s">
        <v>458</v>
      </c>
      <c r="C804" s="176" t="s">
        <v>679</v>
      </c>
      <c r="D804" s="169" t="s">
        <v>196</v>
      </c>
      <c r="E804" s="173" t="s">
        <v>1682</v>
      </c>
      <c r="F804" s="173" t="s">
        <v>1682</v>
      </c>
      <c r="G804" s="173" t="s">
        <v>1682</v>
      </c>
      <c r="H804" s="205" t="s">
        <v>439</v>
      </c>
      <c r="I804" s="173" t="s">
        <v>1682</v>
      </c>
      <c r="J804" s="176">
        <v>0.3</v>
      </c>
      <c r="K804" s="173" t="s">
        <v>401</v>
      </c>
      <c r="L804" s="173" t="s">
        <v>401</v>
      </c>
      <c r="M804" s="173" t="s">
        <v>401</v>
      </c>
      <c r="N804" s="173" t="s">
        <v>401</v>
      </c>
      <c r="O804" s="173" t="s">
        <v>401</v>
      </c>
      <c r="P804" s="208" t="s">
        <v>247</v>
      </c>
    </row>
    <row r="805" spans="1:16" ht="15">
      <c r="A805" s="169" t="s">
        <v>141</v>
      </c>
      <c r="B805" s="176" t="s">
        <v>458</v>
      </c>
      <c r="C805" s="176" t="s">
        <v>679</v>
      </c>
      <c r="D805" s="169" t="s">
        <v>196</v>
      </c>
      <c r="E805" s="173" t="s">
        <v>1682</v>
      </c>
      <c r="F805" s="173" t="s">
        <v>1682</v>
      </c>
      <c r="G805" s="173" t="s">
        <v>1682</v>
      </c>
      <c r="H805" s="205" t="s">
        <v>439</v>
      </c>
      <c r="I805" s="173" t="s">
        <v>1682</v>
      </c>
      <c r="J805" s="176">
        <v>0.3</v>
      </c>
      <c r="K805" s="173" t="s">
        <v>401</v>
      </c>
      <c r="L805" s="173" t="s">
        <v>401</v>
      </c>
      <c r="M805" s="173" t="s">
        <v>401</v>
      </c>
      <c r="N805" s="173" t="s">
        <v>401</v>
      </c>
      <c r="O805" s="173" t="s">
        <v>401</v>
      </c>
      <c r="P805" s="208" t="s">
        <v>248</v>
      </c>
    </row>
    <row r="806" spans="1:16" ht="15">
      <c r="A806" s="169" t="s">
        <v>141</v>
      </c>
      <c r="B806" s="176" t="s">
        <v>458</v>
      </c>
      <c r="C806" s="176" t="s">
        <v>679</v>
      </c>
      <c r="D806" s="169" t="s">
        <v>196</v>
      </c>
      <c r="E806" s="173" t="s">
        <v>1682</v>
      </c>
      <c r="F806" s="173" t="s">
        <v>1682</v>
      </c>
      <c r="G806" s="173" t="s">
        <v>1682</v>
      </c>
      <c r="H806" s="205" t="s">
        <v>439</v>
      </c>
      <c r="I806" s="173" t="s">
        <v>1682</v>
      </c>
      <c r="J806" s="176">
        <v>0.3</v>
      </c>
      <c r="K806" s="173" t="s">
        <v>401</v>
      </c>
      <c r="L806" s="173" t="s">
        <v>401</v>
      </c>
      <c r="M806" s="173" t="s">
        <v>401</v>
      </c>
      <c r="N806" s="173" t="s">
        <v>401</v>
      </c>
      <c r="O806" s="173" t="s">
        <v>401</v>
      </c>
      <c r="P806" s="208" t="s">
        <v>249</v>
      </c>
    </row>
    <row r="807" spans="1:16" ht="15">
      <c r="A807" s="169" t="s">
        <v>141</v>
      </c>
      <c r="B807" s="176" t="s">
        <v>458</v>
      </c>
      <c r="C807" s="176" t="s">
        <v>679</v>
      </c>
      <c r="D807" s="169" t="s">
        <v>196</v>
      </c>
      <c r="E807" s="173" t="s">
        <v>1682</v>
      </c>
      <c r="F807" s="173" t="s">
        <v>1682</v>
      </c>
      <c r="G807" s="173" t="s">
        <v>1682</v>
      </c>
      <c r="H807" s="205" t="s">
        <v>439</v>
      </c>
      <c r="I807" s="173" t="s">
        <v>1682</v>
      </c>
      <c r="J807" s="176">
        <v>0.2</v>
      </c>
      <c r="K807" s="173" t="s">
        <v>1682</v>
      </c>
      <c r="L807" s="173" t="s">
        <v>1682</v>
      </c>
      <c r="M807" s="173" t="s">
        <v>401</v>
      </c>
      <c r="N807" s="173" t="s">
        <v>401</v>
      </c>
      <c r="O807" s="173" t="s">
        <v>401</v>
      </c>
      <c r="P807" s="208" t="s">
        <v>250</v>
      </c>
    </row>
    <row r="808" spans="1:16" ht="16" thickBot="1">
      <c r="A808" s="169" t="s">
        <v>141</v>
      </c>
      <c r="B808" s="176" t="s">
        <v>458</v>
      </c>
      <c r="C808" s="176" t="s">
        <v>679</v>
      </c>
      <c r="D808" s="169" t="s">
        <v>196</v>
      </c>
      <c r="E808" s="173" t="s">
        <v>1682</v>
      </c>
      <c r="F808" s="173" t="s">
        <v>1682</v>
      </c>
      <c r="G808" s="173" t="s">
        <v>1682</v>
      </c>
      <c r="H808" s="205" t="s">
        <v>439</v>
      </c>
      <c r="I808" s="225" t="s">
        <v>1682</v>
      </c>
      <c r="J808" s="224">
        <v>0.09</v>
      </c>
      <c r="K808" s="225" t="s">
        <v>401</v>
      </c>
      <c r="L808" s="225" t="s">
        <v>401</v>
      </c>
      <c r="M808" s="225" t="s">
        <v>401</v>
      </c>
      <c r="N808" s="225" t="s">
        <v>401</v>
      </c>
      <c r="O808" s="225" t="s">
        <v>401</v>
      </c>
      <c r="P808" s="208" t="s">
        <v>251</v>
      </c>
    </row>
    <row r="809" spans="1:16" ht="16" thickBot="1">
      <c r="A809" s="150"/>
      <c r="B809" s="104"/>
      <c r="C809" s="104"/>
      <c r="D809" s="103"/>
      <c r="E809" s="202"/>
      <c r="F809" s="202"/>
      <c r="G809" s="202"/>
      <c r="H809" s="106"/>
      <c r="I809" s="245" t="s">
        <v>1826</v>
      </c>
      <c r="J809" s="227">
        <f>AVERAGE(J727:J808)</f>
        <v>1.3084146341463421</v>
      </c>
      <c r="K809" s="228">
        <f>STDEV(J727:J808)</f>
        <v>1.0603301017708917</v>
      </c>
      <c r="L809" s="228" t="s">
        <v>1826</v>
      </c>
      <c r="M809" s="228" t="s">
        <v>1826</v>
      </c>
      <c r="N809" s="228" t="s">
        <v>1826</v>
      </c>
      <c r="O809" s="229" t="s">
        <v>1826</v>
      </c>
      <c r="P809" s="107"/>
    </row>
    <row r="810" spans="1:16" ht="15">
      <c r="A810" s="150"/>
      <c r="B810" s="104"/>
      <c r="C810" s="104"/>
      <c r="D810" s="103"/>
      <c r="E810" s="202"/>
      <c r="F810" s="202"/>
      <c r="G810" s="202"/>
      <c r="H810" s="106"/>
      <c r="J810" s="104"/>
      <c r="K810" s="105"/>
      <c r="L810" s="105"/>
      <c r="M810" s="105"/>
      <c r="N810" s="105"/>
      <c r="O810" s="105"/>
      <c r="P810" s="107"/>
    </row>
    <row r="811" spans="1:16" ht="15">
      <c r="A811" s="312"/>
      <c r="B811" s="313"/>
      <c r="C811" s="313"/>
      <c r="D811" s="314"/>
      <c r="E811" s="315"/>
      <c r="F811" s="315"/>
      <c r="G811" s="315"/>
      <c r="H811" s="316"/>
      <c r="I811" s="321"/>
      <c r="J811" s="313"/>
      <c r="K811" s="318"/>
      <c r="L811" s="318"/>
      <c r="M811" s="318"/>
      <c r="N811" s="318"/>
      <c r="O811" s="318"/>
      <c r="P811" s="319"/>
    </row>
    <row r="812" spans="1:16" ht="16" thickBot="1">
      <c r="A812" s="150"/>
      <c r="B812" s="104"/>
      <c r="C812" s="104"/>
      <c r="D812" s="103"/>
      <c r="E812" s="202"/>
      <c r="F812" s="202"/>
      <c r="G812" s="202"/>
      <c r="H812" s="106"/>
      <c r="J812" s="104"/>
      <c r="K812" s="105"/>
      <c r="L812" s="105"/>
      <c r="M812" s="105"/>
      <c r="N812" s="105"/>
      <c r="O812" s="105"/>
      <c r="P812" s="107"/>
    </row>
    <row r="813" spans="1:16" ht="16" thickBot="1">
      <c r="A813" s="169" t="s">
        <v>817</v>
      </c>
      <c r="B813" s="176" t="s">
        <v>280</v>
      </c>
      <c r="C813" s="176" t="s">
        <v>281</v>
      </c>
      <c r="D813" s="169" t="s">
        <v>197</v>
      </c>
      <c r="E813" s="173" t="s">
        <v>1682</v>
      </c>
      <c r="F813" s="173" t="s">
        <v>1682</v>
      </c>
      <c r="G813" s="173" t="s">
        <v>1682</v>
      </c>
      <c r="H813" s="234" t="s">
        <v>439</v>
      </c>
      <c r="I813" s="226" t="s">
        <v>756</v>
      </c>
      <c r="J813" s="227">
        <v>5.6</v>
      </c>
      <c r="K813" s="228" t="s">
        <v>1682</v>
      </c>
      <c r="L813" s="228" t="s">
        <v>1682</v>
      </c>
      <c r="M813" s="228" t="s">
        <v>1682</v>
      </c>
      <c r="N813" s="228" t="s">
        <v>1682</v>
      </c>
      <c r="O813" s="229" t="s">
        <v>1682</v>
      </c>
      <c r="P813" s="235" t="s">
        <v>265</v>
      </c>
    </row>
    <row r="814" spans="1:16" ht="15">
      <c r="A814" s="150"/>
      <c r="B814" s="104"/>
      <c r="C814" s="104"/>
      <c r="D814" s="103"/>
      <c r="E814" s="202"/>
      <c r="F814" s="202"/>
      <c r="G814" s="202"/>
      <c r="H814" s="106"/>
      <c r="J814" s="104"/>
      <c r="K814" s="105"/>
      <c r="L814" s="105"/>
      <c r="M814" s="105"/>
      <c r="N814" s="105"/>
      <c r="O814" s="105"/>
      <c r="P814" s="107"/>
    </row>
    <row r="815" spans="1:16" ht="15">
      <c r="A815" s="312"/>
      <c r="B815" s="313"/>
      <c r="C815" s="313"/>
      <c r="D815" s="314"/>
      <c r="E815" s="315"/>
      <c r="F815" s="315"/>
      <c r="G815" s="315"/>
      <c r="H815" s="316"/>
      <c r="I815" s="321"/>
      <c r="J815" s="313"/>
      <c r="K815" s="318"/>
      <c r="L815" s="318"/>
      <c r="M815" s="318"/>
      <c r="N815" s="318"/>
      <c r="O815" s="318"/>
      <c r="P815" s="319"/>
    </row>
    <row r="816" spans="1:16" ht="15">
      <c r="A816" s="150"/>
      <c r="B816" s="104"/>
      <c r="C816" s="104"/>
      <c r="D816" s="103"/>
      <c r="E816" s="202"/>
      <c r="F816" s="202"/>
      <c r="G816" s="202"/>
      <c r="H816" s="106"/>
      <c r="J816" s="104"/>
      <c r="K816" s="105"/>
      <c r="L816" s="105"/>
      <c r="M816" s="105"/>
      <c r="N816" s="105"/>
      <c r="O816" s="105"/>
      <c r="P816" s="107"/>
    </row>
    <row r="817" spans="1:16" ht="15">
      <c r="A817" s="169" t="s">
        <v>818</v>
      </c>
      <c r="B817" s="176" t="s">
        <v>455</v>
      </c>
      <c r="C817" s="176" t="s">
        <v>456</v>
      </c>
      <c r="D817" s="169" t="s">
        <v>195</v>
      </c>
      <c r="E817" s="173" t="s">
        <v>1682</v>
      </c>
      <c r="F817" s="173" t="s">
        <v>1682</v>
      </c>
      <c r="G817" s="173" t="s">
        <v>1682</v>
      </c>
      <c r="H817" s="205" t="s">
        <v>439</v>
      </c>
      <c r="I817" s="175" t="s">
        <v>756</v>
      </c>
      <c r="J817" s="178">
        <f>AVERAGE(5,10)</f>
        <v>7.5</v>
      </c>
      <c r="K817" s="173" t="s">
        <v>1682</v>
      </c>
      <c r="L817" s="173" t="s">
        <v>1682</v>
      </c>
      <c r="M817" s="173" t="s">
        <v>1682</v>
      </c>
      <c r="N817" s="173" t="s">
        <v>1682</v>
      </c>
      <c r="O817" s="173" t="s">
        <v>1682</v>
      </c>
      <c r="P817" s="208" t="s">
        <v>376</v>
      </c>
    </row>
    <row r="818" spans="1:16" ht="15">
      <c r="A818" s="169" t="s">
        <v>818</v>
      </c>
      <c r="B818" s="176" t="s">
        <v>455</v>
      </c>
      <c r="C818" s="176" t="s">
        <v>456</v>
      </c>
      <c r="D818" s="169" t="s">
        <v>195</v>
      </c>
      <c r="E818" s="173" t="s">
        <v>1682</v>
      </c>
      <c r="F818" s="173" t="s">
        <v>1682</v>
      </c>
      <c r="G818" s="173" t="s">
        <v>1682</v>
      </c>
      <c r="H818" s="205" t="s">
        <v>439</v>
      </c>
      <c r="I818" s="175" t="s">
        <v>756</v>
      </c>
      <c r="J818" s="176">
        <f>AVERAGE(2.3,6)</f>
        <v>4.1500000000000004</v>
      </c>
      <c r="K818" s="173" t="s">
        <v>1682</v>
      </c>
      <c r="L818" s="173" t="s">
        <v>1682</v>
      </c>
      <c r="M818" s="173" t="s">
        <v>1682</v>
      </c>
      <c r="N818" s="173" t="s">
        <v>1682</v>
      </c>
      <c r="O818" s="173" t="s">
        <v>1682</v>
      </c>
      <c r="P818" s="208" t="s">
        <v>122</v>
      </c>
    </row>
    <row r="819" spans="1:16" ht="16" thickBot="1">
      <c r="A819" s="169" t="s">
        <v>818</v>
      </c>
      <c r="B819" s="176" t="s">
        <v>455</v>
      </c>
      <c r="C819" s="176" t="s">
        <v>456</v>
      </c>
      <c r="D819" s="169" t="s">
        <v>195</v>
      </c>
      <c r="E819" s="173" t="s">
        <v>1682</v>
      </c>
      <c r="F819" s="173" t="s">
        <v>1682</v>
      </c>
      <c r="G819" s="173" t="s">
        <v>1682</v>
      </c>
      <c r="H819" s="205" t="s">
        <v>439</v>
      </c>
      <c r="I819" s="206" t="s">
        <v>756</v>
      </c>
      <c r="J819" s="224">
        <f>AVERAGE(2,4.2)</f>
        <v>3.1</v>
      </c>
      <c r="K819" s="225" t="s">
        <v>1682</v>
      </c>
      <c r="L819" s="225" t="s">
        <v>1682</v>
      </c>
      <c r="M819" s="225" t="s">
        <v>1682</v>
      </c>
      <c r="N819" s="225" t="s">
        <v>1682</v>
      </c>
      <c r="O819" s="225" t="s">
        <v>1682</v>
      </c>
      <c r="P819" s="208" t="s">
        <v>122</v>
      </c>
    </row>
    <row r="820" spans="1:16" ht="16" thickBot="1">
      <c r="A820" s="103"/>
      <c r="B820" s="104"/>
      <c r="C820" s="104"/>
      <c r="D820" s="103"/>
      <c r="E820" s="202"/>
      <c r="F820" s="202"/>
      <c r="G820" s="202"/>
      <c r="H820" s="106"/>
      <c r="I820" s="226" t="s">
        <v>756</v>
      </c>
      <c r="J820" s="227">
        <f>AVERAGE(J817:J819)</f>
        <v>4.916666666666667</v>
      </c>
      <c r="K820" s="228">
        <f>STDEV(J817:J819)</f>
        <v>2.2980063823526109</v>
      </c>
      <c r="L820" s="228" t="s">
        <v>1682</v>
      </c>
      <c r="M820" s="228" t="s">
        <v>1682</v>
      </c>
      <c r="N820" s="228" t="s">
        <v>1682</v>
      </c>
      <c r="O820" s="229" t="s">
        <v>1682</v>
      </c>
      <c r="P820" s="107"/>
    </row>
    <row r="821" spans="1:16">
      <c r="I821" s="311"/>
      <c r="J821" s="311"/>
      <c r="K821" s="311"/>
      <c r="L821" s="311"/>
      <c r="M821" s="311"/>
      <c r="N821" s="311"/>
      <c r="O821" s="311"/>
    </row>
    <row r="822" spans="1:16">
      <c r="A822" s="321"/>
      <c r="B822" s="321"/>
      <c r="C822" s="321"/>
      <c r="D822" s="321"/>
      <c r="E822" s="317"/>
      <c r="F822" s="321"/>
      <c r="G822" s="321"/>
      <c r="H822" s="321"/>
      <c r="I822" s="322"/>
      <c r="J822" s="322"/>
      <c r="K822" s="322"/>
      <c r="L822" s="322"/>
      <c r="M822" s="322"/>
      <c r="N822" s="322"/>
      <c r="O822" s="322"/>
      <c r="P822" s="321"/>
    </row>
    <row r="823" spans="1:16" ht="14" thickBot="1">
      <c r="I823" s="311"/>
      <c r="J823" s="311"/>
      <c r="K823" s="311"/>
      <c r="L823" s="311"/>
      <c r="M823" s="311"/>
      <c r="N823" s="311"/>
      <c r="O823" s="311"/>
    </row>
    <row r="824" spans="1:16" ht="16" thickBot="1">
      <c r="A824" s="169" t="s">
        <v>682</v>
      </c>
      <c r="B824" s="176" t="s">
        <v>671</v>
      </c>
      <c r="C824" s="176" t="s">
        <v>457</v>
      </c>
      <c r="D824" s="169" t="s">
        <v>1405</v>
      </c>
      <c r="E824" s="173" t="s">
        <v>1682</v>
      </c>
      <c r="F824" s="173" t="s">
        <v>1682</v>
      </c>
      <c r="G824" s="173" t="s">
        <v>1682</v>
      </c>
      <c r="H824" s="234" t="s">
        <v>439</v>
      </c>
      <c r="I824" s="226" t="s">
        <v>756</v>
      </c>
      <c r="J824" s="227">
        <v>5.0999999999999996</v>
      </c>
      <c r="K824" s="228" t="s">
        <v>1682</v>
      </c>
      <c r="L824" s="228" t="s">
        <v>1682</v>
      </c>
      <c r="M824" s="228" t="s">
        <v>1682</v>
      </c>
      <c r="N824" s="228" t="s">
        <v>1682</v>
      </c>
      <c r="O824" s="229" t="s">
        <v>1682</v>
      </c>
      <c r="P824" s="235" t="s">
        <v>123</v>
      </c>
    </row>
    <row r="825" spans="1:16">
      <c r="J825"/>
      <c r="K825"/>
      <c r="L825"/>
      <c r="M825"/>
      <c r="N825"/>
      <c r="O825"/>
    </row>
    <row r="826" spans="1:16">
      <c r="A826" s="321"/>
      <c r="B826" s="321"/>
      <c r="C826" s="321"/>
      <c r="D826" s="321"/>
      <c r="E826" s="317"/>
      <c r="F826" s="321"/>
      <c r="G826" s="321"/>
      <c r="H826" s="321"/>
      <c r="I826" s="321"/>
      <c r="J826" s="321"/>
      <c r="K826" s="321"/>
      <c r="L826" s="321"/>
      <c r="M826" s="321"/>
      <c r="N826" s="321"/>
      <c r="O826" s="321"/>
      <c r="P826" s="321"/>
    </row>
    <row r="827" spans="1:16" ht="14" thickBot="1">
      <c r="J827"/>
      <c r="K827"/>
      <c r="L827"/>
      <c r="M827"/>
      <c r="N827"/>
      <c r="O827"/>
    </row>
    <row r="828" spans="1:16" ht="16" thickBot="1">
      <c r="A828" s="169" t="s">
        <v>586</v>
      </c>
      <c r="B828" s="176" t="s">
        <v>587</v>
      </c>
      <c r="C828" s="176" t="s">
        <v>588</v>
      </c>
      <c r="D828" s="169" t="s">
        <v>198</v>
      </c>
      <c r="E828" s="173" t="s">
        <v>1682</v>
      </c>
      <c r="F828" s="173" t="s">
        <v>1682</v>
      </c>
      <c r="G828" s="173" t="s">
        <v>1682</v>
      </c>
      <c r="H828" s="234" t="s">
        <v>439</v>
      </c>
      <c r="I828" s="226" t="s">
        <v>756</v>
      </c>
      <c r="J828" s="227">
        <v>5</v>
      </c>
      <c r="K828" s="228" t="s">
        <v>1682</v>
      </c>
      <c r="L828" s="228" t="s">
        <v>1682</v>
      </c>
      <c r="M828" s="228" t="s">
        <v>1682</v>
      </c>
      <c r="N828" s="228" t="s">
        <v>1682</v>
      </c>
      <c r="O828" s="229" t="s">
        <v>1682</v>
      </c>
      <c r="P828" s="235" t="s">
        <v>532</v>
      </c>
    </row>
    <row r="829" spans="1:16" ht="15">
      <c r="A829" s="150"/>
      <c r="B829" s="104"/>
      <c r="C829" s="104"/>
      <c r="D829" s="103"/>
      <c r="E829" s="202"/>
      <c r="F829" s="202"/>
      <c r="G829" s="202"/>
      <c r="H829" s="106"/>
      <c r="J829" s="104"/>
      <c r="K829" s="105"/>
      <c r="L829" s="105"/>
      <c r="M829" s="105"/>
      <c r="N829" s="105"/>
      <c r="O829" s="105"/>
      <c r="P829" s="107"/>
    </row>
    <row r="830" spans="1:16" ht="15">
      <c r="A830" s="312"/>
      <c r="B830" s="313"/>
      <c r="C830" s="313"/>
      <c r="D830" s="314"/>
      <c r="E830" s="315"/>
      <c r="F830" s="315"/>
      <c r="G830" s="315"/>
      <c r="H830" s="316"/>
      <c r="I830" s="321"/>
      <c r="J830" s="313"/>
      <c r="K830" s="318"/>
      <c r="L830" s="318"/>
      <c r="M830" s="318"/>
      <c r="N830" s="318"/>
      <c r="O830" s="318"/>
      <c r="P830" s="319"/>
    </row>
    <row r="831" spans="1:16" ht="15">
      <c r="A831" s="150"/>
      <c r="B831" s="104"/>
      <c r="C831" s="104"/>
      <c r="D831" s="103"/>
      <c r="E831" s="202"/>
      <c r="F831" s="202"/>
      <c r="G831" s="202"/>
      <c r="H831" s="106"/>
      <c r="J831" s="104"/>
      <c r="K831" s="105"/>
      <c r="L831" s="105"/>
      <c r="M831" s="105"/>
      <c r="N831" s="105"/>
      <c r="O831" s="105"/>
      <c r="P831" s="107"/>
    </row>
    <row r="832" spans="1:16" ht="15">
      <c r="A832" s="169" t="s">
        <v>589</v>
      </c>
      <c r="B832" s="176" t="s">
        <v>320</v>
      </c>
      <c r="C832" s="176" t="s">
        <v>737</v>
      </c>
      <c r="D832" s="169" t="s">
        <v>1194</v>
      </c>
      <c r="E832" s="173" t="s">
        <v>1682</v>
      </c>
      <c r="F832" s="173" t="s">
        <v>1682</v>
      </c>
      <c r="G832" s="173" t="s">
        <v>1682</v>
      </c>
      <c r="H832" s="234" t="s">
        <v>439</v>
      </c>
      <c r="I832" s="175" t="s">
        <v>756</v>
      </c>
      <c r="J832" s="236">
        <v>9</v>
      </c>
      <c r="K832" s="173" t="s">
        <v>1682</v>
      </c>
      <c r="L832" s="173" t="s">
        <v>1682</v>
      </c>
      <c r="M832" s="173" t="s">
        <v>1682</v>
      </c>
      <c r="N832" s="173" t="s">
        <v>1682</v>
      </c>
      <c r="O832" s="173" t="s">
        <v>1682</v>
      </c>
      <c r="P832" s="208" t="s">
        <v>124</v>
      </c>
    </row>
    <row r="833" spans="1:16" ht="15">
      <c r="A833" s="169"/>
      <c r="B833" s="176" t="s">
        <v>320</v>
      </c>
      <c r="C833" s="176" t="s">
        <v>737</v>
      </c>
      <c r="D833" s="169" t="s">
        <v>1194</v>
      </c>
      <c r="E833" s="173" t="s">
        <v>1682</v>
      </c>
      <c r="F833" s="173" t="s">
        <v>1682</v>
      </c>
      <c r="G833" s="173" t="s">
        <v>1682</v>
      </c>
      <c r="H833" s="234" t="s">
        <v>439</v>
      </c>
      <c r="I833" s="175" t="s">
        <v>756</v>
      </c>
      <c r="J833" s="236">
        <v>7.3</v>
      </c>
      <c r="K833" s="173" t="s">
        <v>1682</v>
      </c>
      <c r="L833" s="173" t="s">
        <v>1682</v>
      </c>
      <c r="M833" s="173" t="s">
        <v>1682</v>
      </c>
      <c r="N833" s="173" t="s">
        <v>1682</v>
      </c>
      <c r="O833" s="173" t="s">
        <v>1682</v>
      </c>
      <c r="P833" s="208" t="s">
        <v>124</v>
      </c>
    </row>
    <row r="834" spans="1:16" ht="16" thickBot="1">
      <c r="A834" s="169"/>
      <c r="B834" s="176" t="s">
        <v>320</v>
      </c>
      <c r="C834" s="176" t="s">
        <v>737</v>
      </c>
      <c r="D834" s="169" t="s">
        <v>1194</v>
      </c>
      <c r="E834" s="173" t="s">
        <v>1682</v>
      </c>
      <c r="F834" s="173" t="s">
        <v>1682</v>
      </c>
      <c r="G834" s="173" t="s">
        <v>1682</v>
      </c>
      <c r="H834" s="234" t="s">
        <v>439</v>
      </c>
      <c r="I834" s="206" t="s">
        <v>756</v>
      </c>
      <c r="J834" s="237">
        <v>5.9</v>
      </c>
      <c r="K834" s="225" t="s">
        <v>1682</v>
      </c>
      <c r="L834" s="225" t="s">
        <v>1682</v>
      </c>
      <c r="M834" s="225" t="s">
        <v>1682</v>
      </c>
      <c r="N834" s="225" t="s">
        <v>1682</v>
      </c>
      <c r="O834" s="225" t="s">
        <v>1682</v>
      </c>
      <c r="P834" s="208" t="s">
        <v>124</v>
      </c>
    </row>
    <row r="835" spans="1:16" ht="16" thickBot="1">
      <c r="A835" s="150"/>
      <c r="B835" s="104"/>
      <c r="C835" s="104"/>
      <c r="D835" s="103"/>
      <c r="E835" s="202"/>
      <c r="F835" s="202"/>
      <c r="G835" s="202"/>
      <c r="H835" s="106"/>
      <c r="I835" s="226" t="s">
        <v>756</v>
      </c>
      <c r="J835" s="227">
        <f>AVERAGE(J832:J834)</f>
        <v>7.4000000000000012</v>
      </c>
      <c r="K835" s="228">
        <f>STDEV(J832:J834)</f>
        <v>1.552417469625992</v>
      </c>
      <c r="L835" s="228" t="s">
        <v>1682</v>
      </c>
      <c r="M835" s="228" t="s">
        <v>1682</v>
      </c>
      <c r="N835" s="228" t="s">
        <v>1682</v>
      </c>
      <c r="O835" s="229" t="s">
        <v>1682</v>
      </c>
      <c r="P835" s="107"/>
    </row>
    <row r="836" spans="1:16" ht="15">
      <c r="A836" s="150"/>
      <c r="B836" s="104"/>
      <c r="C836" s="104"/>
      <c r="D836" s="103"/>
      <c r="E836" s="202"/>
      <c r="F836" s="202"/>
      <c r="G836" s="202"/>
      <c r="H836" s="106"/>
      <c r="J836" s="104"/>
      <c r="K836" s="105"/>
      <c r="L836" s="105"/>
      <c r="M836" s="105"/>
      <c r="N836" s="105"/>
      <c r="O836" s="105"/>
      <c r="P836" s="107"/>
    </row>
    <row r="837" spans="1:16" ht="15">
      <c r="A837" s="312"/>
      <c r="B837" s="313"/>
      <c r="C837" s="313"/>
      <c r="D837" s="314"/>
      <c r="E837" s="315"/>
      <c r="F837" s="315"/>
      <c r="G837" s="315"/>
      <c r="H837" s="316"/>
      <c r="I837" s="321"/>
      <c r="J837" s="313"/>
      <c r="K837" s="318"/>
      <c r="L837" s="318"/>
      <c r="M837" s="318"/>
      <c r="N837" s="318"/>
      <c r="O837" s="318"/>
      <c r="P837" s="319"/>
    </row>
    <row r="838" spans="1:16" ht="15">
      <c r="A838" s="150"/>
      <c r="B838" s="104"/>
      <c r="C838" s="104"/>
      <c r="D838" s="103"/>
      <c r="E838" s="202"/>
      <c r="F838" s="202"/>
      <c r="G838" s="202"/>
      <c r="H838" s="106"/>
      <c r="J838" s="104"/>
      <c r="K838" s="105"/>
      <c r="L838" s="105"/>
      <c r="M838" s="105"/>
      <c r="N838" s="105"/>
      <c r="O838" s="105"/>
      <c r="P838" s="107"/>
    </row>
    <row r="839" spans="1:16" ht="15">
      <c r="A839" s="169" t="s">
        <v>590</v>
      </c>
      <c r="B839" s="176" t="s">
        <v>684</v>
      </c>
      <c r="C839" s="176" t="s">
        <v>685</v>
      </c>
      <c r="D839" s="169" t="s">
        <v>199</v>
      </c>
      <c r="E839" s="173" t="s">
        <v>1682</v>
      </c>
      <c r="F839" s="173" t="s">
        <v>1682</v>
      </c>
      <c r="G839" s="173" t="s">
        <v>1682</v>
      </c>
      <c r="H839" s="205" t="s">
        <v>439</v>
      </c>
      <c r="I839" s="175" t="s">
        <v>756</v>
      </c>
      <c r="J839" s="176">
        <v>7</v>
      </c>
      <c r="K839" s="173" t="s">
        <v>1682</v>
      </c>
      <c r="L839" s="173" t="s">
        <v>1682</v>
      </c>
      <c r="M839" s="173" t="s">
        <v>1682</v>
      </c>
      <c r="N839" s="173" t="s">
        <v>1682</v>
      </c>
      <c r="O839" s="173" t="s">
        <v>1682</v>
      </c>
      <c r="P839" s="235" t="s">
        <v>125</v>
      </c>
    </row>
    <row r="840" spans="1:16" ht="16" thickBot="1">
      <c r="A840" s="169"/>
      <c r="B840" s="176" t="s">
        <v>684</v>
      </c>
      <c r="C840" s="176" t="s">
        <v>685</v>
      </c>
      <c r="D840" s="169" t="s">
        <v>200</v>
      </c>
      <c r="E840" s="173" t="s">
        <v>1682</v>
      </c>
      <c r="F840" s="173" t="s">
        <v>1682</v>
      </c>
      <c r="G840" s="173" t="s">
        <v>1682</v>
      </c>
      <c r="H840" s="205" t="s">
        <v>439</v>
      </c>
      <c r="I840" s="206" t="s">
        <v>756</v>
      </c>
      <c r="J840" s="224">
        <v>8.1999999999999993</v>
      </c>
      <c r="K840" s="225" t="s">
        <v>1682</v>
      </c>
      <c r="L840" s="225" t="s">
        <v>1682</v>
      </c>
      <c r="M840" s="225" t="s">
        <v>1682</v>
      </c>
      <c r="N840" s="225" t="s">
        <v>1682</v>
      </c>
      <c r="O840" s="225" t="s">
        <v>1682</v>
      </c>
      <c r="P840" s="235" t="s">
        <v>125</v>
      </c>
    </row>
    <row r="841" spans="1:16" ht="15">
      <c r="A841" s="169"/>
      <c r="B841" s="176" t="s">
        <v>684</v>
      </c>
      <c r="C841" s="176" t="s">
        <v>685</v>
      </c>
      <c r="D841" s="169" t="s">
        <v>201</v>
      </c>
      <c r="E841" s="173" t="s">
        <v>1682</v>
      </c>
      <c r="F841" s="173" t="s">
        <v>1682</v>
      </c>
      <c r="G841" s="173" t="s">
        <v>1682</v>
      </c>
      <c r="H841" s="234" t="s">
        <v>439</v>
      </c>
      <c r="I841" s="210" t="s">
        <v>756</v>
      </c>
      <c r="J841" s="232">
        <v>6.8</v>
      </c>
      <c r="K841" s="217" t="s">
        <v>1682</v>
      </c>
      <c r="L841" s="217" t="s">
        <v>1682</v>
      </c>
      <c r="M841" s="217" t="s">
        <v>1682</v>
      </c>
      <c r="N841" s="217" t="s">
        <v>1682</v>
      </c>
      <c r="O841" s="218" t="s">
        <v>1682</v>
      </c>
      <c r="P841" s="235" t="s">
        <v>125</v>
      </c>
    </row>
    <row r="842" spans="1:16" ht="15">
      <c r="A842" s="169"/>
      <c r="B842" s="176" t="s">
        <v>686</v>
      </c>
      <c r="C842" s="176" t="s">
        <v>687</v>
      </c>
      <c r="D842" s="169" t="s">
        <v>202</v>
      </c>
      <c r="E842" s="173" t="s">
        <v>1682</v>
      </c>
      <c r="F842" s="173" t="s">
        <v>1682</v>
      </c>
      <c r="G842" s="173" t="s">
        <v>1682</v>
      </c>
      <c r="H842" s="234" t="s">
        <v>439</v>
      </c>
      <c r="I842" s="211" t="s">
        <v>756</v>
      </c>
      <c r="J842" s="171">
        <v>6.4</v>
      </c>
      <c r="K842" s="179" t="s">
        <v>1682</v>
      </c>
      <c r="L842" s="179" t="s">
        <v>1682</v>
      </c>
      <c r="M842" s="179" t="s">
        <v>1682</v>
      </c>
      <c r="N842" s="179" t="s">
        <v>1682</v>
      </c>
      <c r="O842" s="220" t="s">
        <v>1682</v>
      </c>
      <c r="P842" s="235" t="s">
        <v>125</v>
      </c>
    </row>
    <row r="843" spans="1:16" ht="15">
      <c r="A843" s="169"/>
      <c r="B843" s="176" t="s">
        <v>688</v>
      </c>
      <c r="C843" s="176" t="s">
        <v>689</v>
      </c>
      <c r="D843" s="169" t="s">
        <v>203</v>
      </c>
      <c r="E843" s="173" t="s">
        <v>1682</v>
      </c>
      <c r="F843" s="173" t="s">
        <v>1682</v>
      </c>
      <c r="G843" s="173" t="s">
        <v>1682</v>
      </c>
      <c r="H843" s="234" t="s">
        <v>439</v>
      </c>
      <c r="I843" s="211" t="s">
        <v>756</v>
      </c>
      <c r="J843" s="171">
        <v>8.1999999999999993</v>
      </c>
      <c r="K843" s="179" t="s">
        <v>1682</v>
      </c>
      <c r="L843" s="179" t="s">
        <v>1682</v>
      </c>
      <c r="M843" s="179" t="s">
        <v>1682</v>
      </c>
      <c r="N843" s="179" t="s">
        <v>1682</v>
      </c>
      <c r="O843" s="220" t="s">
        <v>1682</v>
      </c>
      <c r="P843" s="235" t="s">
        <v>125</v>
      </c>
    </row>
    <row r="844" spans="1:16" ht="15">
      <c r="A844" s="169"/>
      <c r="B844" s="176" t="s">
        <v>690</v>
      </c>
      <c r="C844" s="176" t="s">
        <v>355</v>
      </c>
      <c r="D844" s="169" t="s">
        <v>204</v>
      </c>
      <c r="E844" s="173" t="s">
        <v>1682</v>
      </c>
      <c r="F844" s="173" t="s">
        <v>1682</v>
      </c>
      <c r="G844" s="173" t="s">
        <v>1682</v>
      </c>
      <c r="H844" s="234" t="s">
        <v>439</v>
      </c>
      <c r="I844" s="211" t="s">
        <v>756</v>
      </c>
      <c r="J844" s="171">
        <v>8.1999999999999993</v>
      </c>
      <c r="K844" s="179" t="s">
        <v>1682</v>
      </c>
      <c r="L844" s="179" t="s">
        <v>1682</v>
      </c>
      <c r="M844" s="179" t="s">
        <v>1682</v>
      </c>
      <c r="N844" s="179" t="s">
        <v>1682</v>
      </c>
      <c r="O844" s="220" t="s">
        <v>1682</v>
      </c>
      <c r="P844" s="235" t="s">
        <v>125</v>
      </c>
    </row>
    <row r="845" spans="1:16" ht="15">
      <c r="A845" s="169"/>
      <c r="B845" s="176" t="s">
        <v>356</v>
      </c>
      <c r="C845" s="176" t="s">
        <v>357</v>
      </c>
      <c r="D845" s="169" t="s">
        <v>440</v>
      </c>
      <c r="E845" s="173" t="s">
        <v>1682</v>
      </c>
      <c r="F845" s="173" t="s">
        <v>1682</v>
      </c>
      <c r="G845" s="173" t="s">
        <v>1682</v>
      </c>
      <c r="H845" s="234" t="s">
        <v>439</v>
      </c>
      <c r="I845" s="211" t="s">
        <v>756</v>
      </c>
      <c r="J845" s="171">
        <v>8.1999999999999993</v>
      </c>
      <c r="K845" s="179" t="s">
        <v>1682</v>
      </c>
      <c r="L845" s="179" t="s">
        <v>1682</v>
      </c>
      <c r="M845" s="179" t="s">
        <v>1682</v>
      </c>
      <c r="N845" s="179" t="s">
        <v>1682</v>
      </c>
      <c r="O845" s="220" t="s">
        <v>1682</v>
      </c>
      <c r="P845" s="235" t="s">
        <v>125</v>
      </c>
    </row>
    <row r="846" spans="1:16" ht="15">
      <c r="A846" s="169"/>
      <c r="B846" s="176" t="s">
        <v>622</v>
      </c>
      <c r="C846" s="176" t="s">
        <v>623</v>
      </c>
      <c r="D846" s="169" t="s">
        <v>441</v>
      </c>
      <c r="E846" s="173" t="s">
        <v>1682</v>
      </c>
      <c r="F846" s="173" t="s">
        <v>1682</v>
      </c>
      <c r="G846" s="173" t="s">
        <v>1682</v>
      </c>
      <c r="H846" s="234" t="s">
        <v>439</v>
      </c>
      <c r="I846" s="211" t="s">
        <v>756</v>
      </c>
      <c r="J846" s="171">
        <v>8.1999999999999993</v>
      </c>
      <c r="K846" s="179" t="s">
        <v>1682</v>
      </c>
      <c r="L846" s="179" t="s">
        <v>1682</v>
      </c>
      <c r="M846" s="179" t="s">
        <v>1682</v>
      </c>
      <c r="N846" s="179" t="s">
        <v>1682</v>
      </c>
      <c r="O846" s="220" t="s">
        <v>1682</v>
      </c>
      <c r="P846" s="235" t="s">
        <v>125</v>
      </c>
    </row>
    <row r="847" spans="1:16" ht="15">
      <c r="A847" s="169"/>
      <c r="B847" s="176" t="s">
        <v>624</v>
      </c>
      <c r="C847" s="176" t="s">
        <v>497</v>
      </c>
      <c r="D847" s="169" t="s">
        <v>442</v>
      </c>
      <c r="E847" s="173" t="s">
        <v>1682</v>
      </c>
      <c r="F847" s="173" t="s">
        <v>1682</v>
      </c>
      <c r="G847" s="173" t="s">
        <v>1682</v>
      </c>
      <c r="H847" s="234" t="s">
        <v>439</v>
      </c>
      <c r="I847" s="211" t="s">
        <v>756</v>
      </c>
      <c r="J847" s="171">
        <v>8.1999999999999993</v>
      </c>
      <c r="K847" s="179" t="s">
        <v>1682</v>
      </c>
      <c r="L847" s="179" t="s">
        <v>1682</v>
      </c>
      <c r="M847" s="179" t="s">
        <v>1682</v>
      </c>
      <c r="N847" s="179" t="s">
        <v>1682</v>
      </c>
      <c r="O847" s="220" t="s">
        <v>1682</v>
      </c>
      <c r="P847" s="235" t="s">
        <v>125</v>
      </c>
    </row>
    <row r="848" spans="1:16" ht="15">
      <c r="A848" s="169"/>
      <c r="B848" s="176" t="s">
        <v>627</v>
      </c>
      <c r="C848" s="176" t="s">
        <v>628</v>
      </c>
      <c r="D848" s="169" t="s">
        <v>443</v>
      </c>
      <c r="E848" s="173" t="s">
        <v>1682</v>
      </c>
      <c r="F848" s="173" t="s">
        <v>1682</v>
      </c>
      <c r="G848" s="173" t="s">
        <v>1682</v>
      </c>
      <c r="H848" s="234" t="s">
        <v>439</v>
      </c>
      <c r="I848" s="211" t="s">
        <v>756</v>
      </c>
      <c r="J848" s="171">
        <v>8.1</v>
      </c>
      <c r="K848" s="179" t="s">
        <v>1682</v>
      </c>
      <c r="L848" s="179" t="s">
        <v>1682</v>
      </c>
      <c r="M848" s="179" t="s">
        <v>1682</v>
      </c>
      <c r="N848" s="179" t="s">
        <v>1682</v>
      </c>
      <c r="O848" s="220" t="s">
        <v>1682</v>
      </c>
      <c r="P848" s="235" t="s">
        <v>125</v>
      </c>
    </row>
    <row r="849" spans="1:16" ht="15">
      <c r="A849" s="169"/>
      <c r="B849" s="176" t="s">
        <v>629</v>
      </c>
      <c r="C849" s="176" t="s">
        <v>732</v>
      </c>
      <c r="D849" s="169" t="s">
        <v>417</v>
      </c>
      <c r="E849" s="173" t="s">
        <v>1682</v>
      </c>
      <c r="F849" s="173" t="s">
        <v>1682</v>
      </c>
      <c r="G849" s="173" t="s">
        <v>1682</v>
      </c>
      <c r="H849" s="234" t="s">
        <v>439</v>
      </c>
      <c r="I849" s="211" t="s">
        <v>756</v>
      </c>
      <c r="J849" s="171">
        <v>7.8</v>
      </c>
      <c r="K849" s="179" t="s">
        <v>1682</v>
      </c>
      <c r="L849" s="179" t="s">
        <v>1682</v>
      </c>
      <c r="M849" s="179" t="s">
        <v>1682</v>
      </c>
      <c r="N849" s="179" t="s">
        <v>1682</v>
      </c>
      <c r="O849" s="220" t="s">
        <v>1682</v>
      </c>
      <c r="P849" s="235" t="s">
        <v>125</v>
      </c>
    </row>
    <row r="850" spans="1:16" ht="15">
      <c r="A850" s="169"/>
      <c r="B850" s="176" t="s">
        <v>511</v>
      </c>
      <c r="C850" s="176" t="s">
        <v>512</v>
      </c>
      <c r="D850" s="169" t="s">
        <v>419</v>
      </c>
      <c r="E850" s="173" t="s">
        <v>1682</v>
      </c>
      <c r="F850" s="173" t="s">
        <v>1682</v>
      </c>
      <c r="G850" s="173" t="s">
        <v>1682</v>
      </c>
      <c r="H850" s="234" t="s">
        <v>439</v>
      </c>
      <c r="I850" s="211" t="s">
        <v>756</v>
      </c>
      <c r="J850" s="171">
        <v>7.7</v>
      </c>
      <c r="K850" s="179" t="s">
        <v>1682</v>
      </c>
      <c r="L850" s="179" t="s">
        <v>1682</v>
      </c>
      <c r="M850" s="179" t="s">
        <v>1682</v>
      </c>
      <c r="N850" s="179" t="s">
        <v>1682</v>
      </c>
      <c r="O850" s="220" t="s">
        <v>1682</v>
      </c>
      <c r="P850" s="235" t="s">
        <v>125</v>
      </c>
    </row>
    <row r="851" spans="1:16" ht="15">
      <c r="A851" s="169"/>
      <c r="B851" s="176" t="s">
        <v>513</v>
      </c>
      <c r="C851" s="176" t="s">
        <v>514</v>
      </c>
      <c r="D851" s="169" t="s">
        <v>427</v>
      </c>
      <c r="E851" s="173" t="s">
        <v>1682</v>
      </c>
      <c r="F851" s="173" t="s">
        <v>1682</v>
      </c>
      <c r="G851" s="173" t="s">
        <v>1682</v>
      </c>
      <c r="H851" s="234" t="s">
        <v>439</v>
      </c>
      <c r="I851" s="211" t="s">
        <v>756</v>
      </c>
      <c r="J851" s="171">
        <v>7.6</v>
      </c>
      <c r="K851" s="179" t="s">
        <v>1682</v>
      </c>
      <c r="L851" s="179" t="s">
        <v>1682</v>
      </c>
      <c r="M851" s="179" t="s">
        <v>1682</v>
      </c>
      <c r="N851" s="179" t="s">
        <v>1682</v>
      </c>
      <c r="O851" s="220" t="s">
        <v>1682</v>
      </c>
      <c r="P851" s="235" t="s">
        <v>125</v>
      </c>
    </row>
    <row r="852" spans="1:16" ht="15">
      <c r="A852" s="169"/>
      <c r="B852" s="176" t="s">
        <v>515</v>
      </c>
      <c r="C852" s="176" t="s">
        <v>634</v>
      </c>
      <c r="D852" s="169" t="s">
        <v>428</v>
      </c>
      <c r="E852" s="173" t="s">
        <v>1682</v>
      </c>
      <c r="F852" s="173" t="s">
        <v>1682</v>
      </c>
      <c r="G852" s="173" t="s">
        <v>1682</v>
      </c>
      <c r="H852" s="234" t="s">
        <v>439</v>
      </c>
      <c r="I852" s="211" t="s">
        <v>756</v>
      </c>
      <c r="J852" s="171">
        <v>7.1</v>
      </c>
      <c r="K852" s="179" t="s">
        <v>1682</v>
      </c>
      <c r="L852" s="179" t="s">
        <v>1682</v>
      </c>
      <c r="M852" s="179" t="s">
        <v>1682</v>
      </c>
      <c r="N852" s="179" t="s">
        <v>1682</v>
      </c>
      <c r="O852" s="220" t="s">
        <v>1682</v>
      </c>
      <c r="P852" s="235" t="s">
        <v>125</v>
      </c>
    </row>
    <row r="853" spans="1:16" ht="15">
      <c r="A853" s="169"/>
      <c r="B853" s="176" t="s">
        <v>513</v>
      </c>
      <c r="C853" s="176" t="s">
        <v>514</v>
      </c>
      <c r="D853" s="169" t="s">
        <v>429</v>
      </c>
      <c r="E853" s="173" t="s">
        <v>1682</v>
      </c>
      <c r="F853" s="173" t="s">
        <v>1682</v>
      </c>
      <c r="G853" s="173" t="s">
        <v>1682</v>
      </c>
      <c r="H853" s="234" t="s">
        <v>439</v>
      </c>
      <c r="I853" s="211" t="s">
        <v>756</v>
      </c>
      <c r="J853" s="171">
        <v>6.9</v>
      </c>
      <c r="K853" s="179" t="s">
        <v>1682</v>
      </c>
      <c r="L853" s="179" t="s">
        <v>1682</v>
      </c>
      <c r="M853" s="179" t="s">
        <v>1682</v>
      </c>
      <c r="N853" s="179" t="s">
        <v>1682</v>
      </c>
      <c r="O853" s="220" t="s">
        <v>1682</v>
      </c>
      <c r="P853" s="235" t="s">
        <v>125</v>
      </c>
    </row>
    <row r="854" spans="1:16" ht="15">
      <c r="A854" s="169"/>
      <c r="B854" s="176" t="s">
        <v>510</v>
      </c>
      <c r="C854" s="176" t="s">
        <v>504</v>
      </c>
      <c r="D854" s="169" t="s">
        <v>430</v>
      </c>
      <c r="E854" s="173" t="s">
        <v>1682</v>
      </c>
      <c r="F854" s="173" t="s">
        <v>1682</v>
      </c>
      <c r="G854" s="173" t="s">
        <v>1682</v>
      </c>
      <c r="H854" s="234" t="s">
        <v>439</v>
      </c>
      <c r="I854" s="211" t="s">
        <v>756</v>
      </c>
      <c r="J854" s="171">
        <v>6.6</v>
      </c>
      <c r="K854" s="179" t="s">
        <v>1682</v>
      </c>
      <c r="L854" s="179" t="s">
        <v>1682</v>
      </c>
      <c r="M854" s="179" t="s">
        <v>1682</v>
      </c>
      <c r="N854" s="179" t="s">
        <v>1682</v>
      </c>
      <c r="O854" s="220" t="s">
        <v>1682</v>
      </c>
      <c r="P854" s="235" t="s">
        <v>125</v>
      </c>
    </row>
    <row r="855" spans="1:16" ht="15">
      <c r="A855" s="169"/>
      <c r="B855" s="176" t="s">
        <v>627</v>
      </c>
      <c r="C855" s="176" t="s">
        <v>628</v>
      </c>
      <c r="D855" s="169" t="s">
        <v>563</v>
      </c>
      <c r="E855" s="173" t="s">
        <v>1682</v>
      </c>
      <c r="F855" s="173" t="s">
        <v>1682</v>
      </c>
      <c r="G855" s="173" t="s">
        <v>1682</v>
      </c>
      <c r="H855" s="234" t="s">
        <v>439</v>
      </c>
      <c r="I855" s="211" t="s">
        <v>756</v>
      </c>
      <c r="J855" s="171">
        <v>6.2</v>
      </c>
      <c r="K855" s="179" t="s">
        <v>1682</v>
      </c>
      <c r="L855" s="179" t="s">
        <v>1682</v>
      </c>
      <c r="M855" s="179" t="s">
        <v>1682</v>
      </c>
      <c r="N855" s="179" t="s">
        <v>1682</v>
      </c>
      <c r="O855" s="220" t="s">
        <v>1682</v>
      </c>
      <c r="P855" s="235" t="s">
        <v>125</v>
      </c>
    </row>
    <row r="856" spans="1:16" ht="15">
      <c r="A856" s="169"/>
      <c r="B856" s="176" t="s">
        <v>516</v>
      </c>
      <c r="C856" s="176" t="s">
        <v>517</v>
      </c>
      <c r="D856" s="169" t="s">
        <v>658</v>
      </c>
      <c r="E856" s="173" t="s">
        <v>1682</v>
      </c>
      <c r="F856" s="173" t="s">
        <v>1682</v>
      </c>
      <c r="G856" s="173" t="s">
        <v>1682</v>
      </c>
      <c r="H856" s="234" t="s">
        <v>439</v>
      </c>
      <c r="I856" s="211" t="s">
        <v>756</v>
      </c>
      <c r="J856" s="171">
        <v>5.5</v>
      </c>
      <c r="K856" s="179" t="s">
        <v>1682</v>
      </c>
      <c r="L856" s="179" t="s">
        <v>1682</v>
      </c>
      <c r="M856" s="179" t="s">
        <v>1682</v>
      </c>
      <c r="N856" s="179" t="s">
        <v>1682</v>
      </c>
      <c r="O856" s="220" t="s">
        <v>1682</v>
      </c>
      <c r="P856" s="235" t="s">
        <v>125</v>
      </c>
    </row>
    <row r="857" spans="1:16" ht="15">
      <c r="A857" s="169"/>
      <c r="B857" s="176">
        <v>13.43</v>
      </c>
      <c r="C857" s="176" t="s">
        <v>518</v>
      </c>
      <c r="D857" s="169" t="s">
        <v>661</v>
      </c>
      <c r="E857" s="173" t="s">
        <v>1682</v>
      </c>
      <c r="F857" s="173" t="s">
        <v>1682</v>
      </c>
      <c r="G857" s="173" t="s">
        <v>1682</v>
      </c>
      <c r="H857" s="234" t="s">
        <v>439</v>
      </c>
      <c r="I857" s="211" t="s">
        <v>756</v>
      </c>
      <c r="J857" s="171">
        <v>5.2</v>
      </c>
      <c r="K857" s="179" t="s">
        <v>1682</v>
      </c>
      <c r="L857" s="179" t="s">
        <v>1682</v>
      </c>
      <c r="M857" s="179" t="s">
        <v>1682</v>
      </c>
      <c r="N857" s="179" t="s">
        <v>1682</v>
      </c>
      <c r="O857" s="220" t="s">
        <v>1682</v>
      </c>
      <c r="P857" s="235" t="s">
        <v>125</v>
      </c>
    </row>
    <row r="858" spans="1:16" ht="16" thickBot="1">
      <c r="A858" s="58"/>
      <c r="B858" s="58"/>
      <c r="C858" s="58"/>
      <c r="D858" s="58"/>
      <c r="E858" s="279"/>
      <c r="F858" s="58"/>
      <c r="G858" s="58"/>
      <c r="H858" s="58"/>
      <c r="I858" s="212" t="s">
        <v>756</v>
      </c>
      <c r="J858" s="207">
        <f>AVERAGE(J839:J841)</f>
        <v>7.333333333333333</v>
      </c>
      <c r="K858" s="207">
        <f>STDEV(J839:J841)</f>
        <v>0.75718777944003612</v>
      </c>
      <c r="L858" s="222" t="s">
        <v>1682</v>
      </c>
      <c r="M858" s="222" t="s">
        <v>1682</v>
      </c>
      <c r="N858" s="222" t="s">
        <v>1682</v>
      </c>
      <c r="O858" s="223" t="s">
        <v>1682</v>
      </c>
      <c r="P858" s="58"/>
    </row>
    <row r="859" spans="1:16">
      <c r="J859"/>
      <c r="K859"/>
      <c r="L859"/>
      <c r="M859"/>
      <c r="N859"/>
      <c r="O859"/>
    </row>
    <row r="860" spans="1:16">
      <c r="A860" s="321"/>
      <c r="B860" s="321"/>
      <c r="C860" s="321"/>
      <c r="D860" s="321"/>
      <c r="E860" s="317"/>
      <c r="F860" s="321"/>
      <c r="G860" s="321"/>
      <c r="H860" s="321"/>
      <c r="I860" s="321"/>
      <c r="J860" s="321"/>
      <c r="K860" s="321"/>
      <c r="L860" s="321"/>
      <c r="M860" s="321"/>
      <c r="N860" s="321"/>
      <c r="O860" s="321"/>
      <c r="P860" s="321"/>
    </row>
    <row r="861" spans="1:16">
      <c r="J861"/>
      <c r="K861"/>
      <c r="L861"/>
      <c r="M861"/>
      <c r="N861"/>
      <c r="O861"/>
    </row>
    <row r="862" spans="1:16" ht="15">
      <c r="A862" s="169" t="s">
        <v>519</v>
      </c>
      <c r="B862" s="176" t="s">
        <v>320</v>
      </c>
      <c r="C862" s="176" t="s">
        <v>737</v>
      </c>
      <c r="D862" s="169" t="s">
        <v>1194</v>
      </c>
      <c r="E862" s="173" t="s">
        <v>1682</v>
      </c>
      <c r="F862" s="173" t="s">
        <v>1682</v>
      </c>
      <c r="G862" s="173" t="s">
        <v>1682</v>
      </c>
      <c r="H862" s="205" t="s">
        <v>439</v>
      </c>
      <c r="I862" s="175" t="s">
        <v>756</v>
      </c>
      <c r="J862" s="176">
        <f>8+1.3+16.9+0.7</f>
        <v>26.9</v>
      </c>
      <c r="K862" s="173" t="s">
        <v>347</v>
      </c>
      <c r="L862" s="173" t="s">
        <v>347</v>
      </c>
      <c r="M862" s="173" t="s">
        <v>347</v>
      </c>
      <c r="N862" s="173" t="s">
        <v>347</v>
      </c>
      <c r="O862" s="173" t="s">
        <v>347</v>
      </c>
      <c r="P862" s="208" t="s">
        <v>126</v>
      </c>
    </row>
    <row r="863" spans="1:16" ht="15">
      <c r="A863" s="169"/>
      <c r="B863" s="176" t="s">
        <v>320</v>
      </c>
      <c r="C863" s="176" t="s">
        <v>737</v>
      </c>
      <c r="D863" s="169" t="s">
        <v>1194</v>
      </c>
      <c r="E863" s="173" t="s">
        <v>1682</v>
      </c>
      <c r="F863" s="173" t="s">
        <v>1682</v>
      </c>
      <c r="G863" s="173" t="s">
        <v>1682</v>
      </c>
      <c r="H863" s="205" t="s">
        <v>439</v>
      </c>
      <c r="I863" s="175" t="s">
        <v>756</v>
      </c>
      <c r="J863" s="176">
        <f>7.7+1.2+16+0.6</f>
        <v>25.5</v>
      </c>
      <c r="K863" s="173" t="s">
        <v>347</v>
      </c>
      <c r="L863" s="173" t="s">
        <v>347</v>
      </c>
      <c r="M863" s="173" t="s">
        <v>347</v>
      </c>
      <c r="N863" s="173" t="s">
        <v>347</v>
      </c>
      <c r="O863" s="173" t="s">
        <v>347</v>
      </c>
      <c r="P863" s="208" t="s">
        <v>126</v>
      </c>
    </row>
    <row r="864" spans="1:16" ht="15">
      <c r="A864" s="169"/>
      <c r="B864" s="176" t="s">
        <v>320</v>
      </c>
      <c r="C864" s="176" t="s">
        <v>737</v>
      </c>
      <c r="D864" s="169" t="s">
        <v>1194</v>
      </c>
      <c r="E864" s="173" t="s">
        <v>1682</v>
      </c>
      <c r="F864" s="173" t="s">
        <v>1682</v>
      </c>
      <c r="G864" s="173" t="s">
        <v>1682</v>
      </c>
      <c r="H864" s="205" t="s">
        <v>439</v>
      </c>
      <c r="I864" s="175" t="s">
        <v>756</v>
      </c>
      <c r="J864" s="176">
        <f>7.1+1.2+15+0.6</f>
        <v>23.9</v>
      </c>
      <c r="K864" s="173" t="s">
        <v>347</v>
      </c>
      <c r="L864" s="173" t="s">
        <v>347</v>
      </c>
      <c r="M864" s="173" t="s">
        <v>347</v>
      </c>
      <c r="N864" s="173" t="s">
        <v>347</v>
      </c>
      <c r="O864" s="173" t="s">
        <v>347</v>
      </c>
      <c r="P864" s="208" t="s">
        <v>126</v>
      </c>
    </row>
    <row r="865" spans="1:16" ht="15">
      <c r="A865" s="169"/>
      <c r="B865" s="176" t="s">
        <v>320</v>
      </c>
      <c r="C865" s="176" t="s">
        <v>737</v>
      </c>
      <c r="D865" s="169" t="s">
        <v>1194</v>
      </c>
      <c r="E865" s="173" t="s">
        <v>1682</v>
      </c>
      <c r="F865" s="173" t="s">
        <v>1682</v>
      </c>
      <c r="G865" s="173" t="s">
        <v>1682</v>
      </c>
      <c r="H865" s="205" t="s">
        <v>439</v>
      </c>
      <c r="I865" s="175" t="s">
        <v>756</v>
      </c>
      <c r="J865" s="176">
        <f>6.4+1.1+13.7+0.6</f>
        <v>21.8</v>
      </c>
      <c r="K865" s="173" t="s">
        <v>347</v>
      </c>
      <c r="L865" s="173" t="s">
        <v>347</v>
      </c>
      <c r="M865" s="173" t="s">
        <v>347</v>
      </c>
      <c r="N865" s="173" t="s">
        <v>347</v>
      </c>
      <c r="O865" s="173" t="s">
        <v>347</v>
      </c>
      <c r="P865" s="208" t="s">
        <v>126</v>
      </c>
    </row>
    <row r="866" spans="1:16" ht="15">
      <c r="A866" s="169"/>
      <c r="B866" s="176" t="s">
        <v>320</v>
      </c>
      <c r="C866" s="176" t="s">
        <v>737</v>
      </c>
      <c r="D866" s="169" t="s">
        <v>1194</v>
      </c>
      <c r="E866" s="173" t="s">
        <v>1682</v>
      </c>
      <c r="F866" s="173" t="s">
        <v>1682</v>
      </c>
      <c r="G866" s="173" t="s">
        <v>1682</v>
      </c>
      <c r="H866" s="205" t="s">
        <v>439</v>
      </c>
      <c r="I866" s="175" t="s">
        <v>756</v>
      </c>
      <c r="J866" s="176">
        <f>5.5+0.9+11.8+0.6</f>
        <v>18.800000000000004</v>
      </c>
      <c r="K866" s="173" t="s">
        <v>347</v>
      </c>
      <c r="L866" s="173" t="s">
        <v>347</v>
      </c>
      <c r="M866" s="173" t="s">
        <v>347</v>
      </c>
      <c r="N866" s="173" t="s">
        <v>347</v>
      </c>
      <c r="O866" s="173" t="s">
        <v>347</v>
      </c>
      <c r="P866" s="208" t="s">
        <v>126</v>
      </c>
    </row>
    <row r="867" spans="1:16" ht="15">
      <c r="A867" s="169"/>
      <c r="B867" s="176" t="s">
        <v>320</v>
      </c>
      <c r="C867" s="176" t="s">
        <v>737</v>
      </c>
      <c r="D867" s="169" t="s">
        <v>1194</v>
      </c>
      <c r="E867" s="173" t="s">
        <v>1682</v>
      </c>
      <c r="F867" s="173" t="s">
        <v>1682</v>
      </c>
      <c r="G867" s="173" t="s">
        <v>1682</v>
      </c>
      <c r="H867" s="205" t="s">
        <v>439</v>
      </c>
      <c r="I867" s="175" t="s">
        <v>756</v>
      </c>
      <c r="J867" s="176">
        <f>6.1+1.5+9.3+0.2</f>
        <v>17.099999999999998</v>
      </c>
      <c r="K867" s="173" t="s">
        <v>347</v>
      </c>
      <c r="L867" s="173" t="s">
        <v>347</v>
      </c>
      <c r="M867" s="173" t="s">
        <v>347</v>
      </c>
      <c r="N867" s="173" t="s">
        <v>347</v>
      </c>
      <c r="O867" s="173" t="s">
        <v>347</v>
      </c>
      <c r="P867" s="208" t="s">
        <v>127</v>
      </c>
    </row>
    <row r="868" spans="1:16" ht="15">
      <c r="A868" s="169"/>
      <c r="B868" s="176" t="s">
        <v>320</v>
      </c>
      <c r="C868" s="176" t="s">
        <v>737</v>
      </c>
      <c r="D868" s="169" t="s">
        <v>1194</v>
      </c>
      <c r="E868" s="173" t="s">
        <v>1682</v>
      </c>
      <c r="F868" s="173" t="s">
        <v>1682</v>
      </c>
      <c r="G868" s="173" t="s">
        <v>1682</v>
      </c>
      <c r="H868" s="205" t="s">
        <v>439</v>
      </c>
      <c r="I868" s="175" t="s">
        <v>137</v>
      </c>
      <c r="J868" s="176">
        <f>5.8+1.5+8.6+0.3</f>
        <v>16.2</v>
      </c>
      <c r="K868" s="173" t="s">
        <v>347</v>
      </c>
      <c r="L868" s="173" t="s">
        <v>347</v>
      </c>
      <c r="M868" s="173" t="s">
        <v>347</v>
      </c>
      <c r="N868" s="173" t="s">
        <v>347</v>
      </c>
      <c r="O868" s="173" t="s">
        <v>347</v>
      </c>
      <c r="P868" s="208" t="s">
        <v>127</v>
      </c>
    </row>
    <row r="869" spans="1:16" ht="15">
      <c r="A869" s="169"/>
      <c r="B869" s="176" t="s">
        <v>320</v>
      </c>
      <c r="C869" s="176" t="s">
        <v>737</v>
      </c>
      <c r="D869" s="169" t="s">
        <v>1194</v>
      </c>
      <c r="E869" s="173" t="s">
        <v>1682</v>
      </c>
      <c r="F869" s="173" t="s">
        <v>1682</v>
      </c>
      <c r="G869" s="173" t="s">
        <v>1682</v>
      </c>
      <c r="H869" s="205" t="s">
        <v>439</v>
      </c>
      <c r="I869" s="175" t="s">
        <v>502</v>
      </c>
      <c r="J869" s="176">
        <f>5.4+1.4+7.8+0.5</f>
        <v>15.100000000000001</v>
      </c>
      <c r="K869" s="173" t="s">
        <v>347</v>
      </c>
      <c r="L869" s="173" t="s">
        <v>347</v>
      </c>
      <c r="M869" s="173" t="s">
        <v>347</v>
      </c>
      <c r="N869" s="173" t="s">
        <v>347</v>
      </c>
      <c r="O869" s="173" t="s">
        <v>347</v>
      </c>
      <c r="P869" s="208" t="s">
        <v>127</v>
      </c>
    </row>
    <row r="870" spans="1:16" ht="15">
      <c r="A870" s="169"/>
      <c r="B870" s="176" t="s">
        <v>320</v>
      </c>
      <c r="C870" s="176" t="s">
        <v>737</v>
      </c>
      <c r="D870" s="169" t="s">
        <v>1194</v>
      </c>
      <c r="E870" s="173" t="s">
        <v>1682</v>
      </c>
      <c r="F870" s="173" t="s">
        <v>1682</v>
      </c>
      <c r="G870" s="173" t="s">
        <v>1682</v>
      </c>
      <c r="H870" s="205" t="s">
        <v>439</v>
      </c>
      <c r="I870" s="175" t="s">
        <v>756</v>
      </c>
      <c r="J870" s="176">
        <f>3.8+0.7+8.7+0.5</f>
        <v>13.7</v>
      </c>
      <c r="K870" s="173" t="s">
        <v>347</v>
      </c>
      <c r="L870" s="173" t="s">
        <v>347</v>
      </c>
      <c r="M870" s="173" t="s">
        <v>347</v>
      </c>
      <c r="N870" s="173" t="s">
        <v>347</v>
      </c>
      <c r="O870" s="173" t="s">
        <v>347</v>
      </c>
      <c r="P870" s="208" t="s">
        <v>126</v>
      </c>
    </row>
    <row r="871" spans="1:16" ht="15">
      <c r="A871" s="169"/>
      <c r="B871" s="176" t="s">
        <v>320</v>
      </c>
      <c r="C871" s="176" t="s">
        <v>737</v>
      </c>
      <c r="D871" s="169" t="s">
        <v>1194</v>
      </c>
      <c r="E871" s="173" t="s">
        <v>1682</v>
      </c>
      <c r="F871" s="173" t="s">
        <v>1682</v>
      </c>
      <c r="G871" s="173" t="s">
        <v>1682</v>
      </c>
      <c r="H871" s="205" t="s">
        <v>439</v>
      </c>
      <c r="I871" s="175" t="s">
        <v>756</v>
      </c>
      <c r="J871" s="176">
        <f>5+1.3+6.7+0.6</f>
        <v>13.6</v>
      </c>
      <c r="K871" s="173" t="s">
        <v>347</v>
      </c>
      <c r="L871" s="173" t="s">
        <v>347</v>
      </c>
      <c r="M871" s="173" t="s">
        <v>347</v>
      </c>
      <c r="N871" s="173" t="s">
        <v>347</v>
      </c>
      <c r="O871" s="173" t="s">
        <v>347</v>
      </c>
      <c r="P871" s="208" t="s">
        <v>127</v>
      </c>
    </row>
    <row r="872" spans="1:16" ht="15">
      <c r="A872" s="169"/>
      <c r="B872" s="176" t="s">
        <v>320</v>
      </c>
      <c r="C872" s="176" t="s">
        <v>737</v>
      </c>
      <c r="D872" s="169" t="s">
        <v>1194</v>
      </c>
      <c r="E872" s="173" t="s">
        <v>1682</v>
      </c>
      <c r="F872" s="173" t="s">
        <v>1682</v>
      </c>
      <c r="G872" s="173" t="s">
        <v>1682</v>
      </c>
      <c r="H872" s="205" t="s">
        <v>439</v>
      </c>
      <c r="I872" s="175" t="s">
        <v>756</v>
      </c>
      <c r="J872" s="176">
        <f>5.4+0.6+5.4+0.8</f>
        <v>12.200000000000001</v>
      </c>
      <c r="K872" s="173" t="s">
        <v>347</v>
      </c>
      <c r="L872" s="173" t="s">
        <v>347</v>
      </c>
      <c r="M872" s="173" t="s">
        <v>347</v>
      </c>
      <c r="N872" s="173" t="s">
        <v>347</v>
      </c>
      <c r="O872" s="173" t="s">
        <v>347</v>
      </c>
      <c r="P872" s="208" t="s">
        <v>128</v>
      </c>
    </row>
    <row r="873" spans="1:16" ht="15">
      <c r="A873" s="169"/>
      <c r="B873" s="176" t="s">
        <v>320</v>
      </c>
      <c r="C873" s="176" t="s">
        <v>737</v>
      </c>
      <c r="D873" s="169" t="s">
        <v>1194</v>
      </c>
      <c r="E873" s="173" t="s">
        <v>1682</v>
      </c>
      <c r="F873" s="173" t="s">
        <v>1682</v>
      </c>
      <c r="G873" s="173" t="s">
        <v>1682</v>
      </c>
      <c r="H873" s="205" t="s">
        <v>439</v>
      </c>
      <c r="I873" s="175" t="s">
        <v>756</v>
      </c>
      <c r="J873" s="176">
        <f>4.4+1.2+5.2+0.8</f>
        <v>11.600000000000001</v>
      </c>
      <c r="K873" s="173" t="s">
        <v>347</v>
      </c>
      <c r="L873" s="173" t="s">
        <v>347</v>
      </c>
      <c r="M873" s="173" t="s">
        <v>347</v>
      </c>
      <c r="N873" s="173" t="s">
        <v>347</v>
      </c>
      <c r="O873" s="173" t="s">
        <v>347</v>
      </c>
      <c r="P873" s="208" t="s">
        <v>127</v>
      </c>
    </row>
    <row r="874" spans="1:16" ht="15">
      <c r="A874" s="169"/>
      <c r="B874" s="176" t="s">
        <v>320</v>
      </c>
      <c r="C874" s="176" t="s">
        <v>737</v>
      </c>
      <c r="D874" s="169" t="s">
        <v>1194</v>
      </c>
      <c r="E874" s="173" t="s">
        <v>1682</v>
      </c>
      <c r="F874" s="173" t="s">
        <v>1682</v>
      </c>
      <c r="G874" s="173" t="s">
        <v>1682</v>
      </c>
      <c r="H874" s="205" t="s">
        <v>439</v>
      </c>
      <c r="I874" s="175" t="s">
        <v>756</v>
      </c>
      <c r="J874" s="176">
        <f>4.9+0.6+5+0.8</f>
        <v>11.3</v>
      </c>
      <c r="K874" s="173" t="s">
        <v>347</v>
      </c>
      <c r="L874" s="173" t="s">
        <v>347</v>
      </c>
      <c r="M874" s="173" t="s">
        <v>347</v>
      </c>
      <c r="N874" s="173" t="s">
        <v>347</v>
      </c>
      <c r="O874" s="173" t="s">
        <v>347</v>
      </c>
      <c r="P874" s="208" t="s">
        <v>128</v>
      </c>
    </row>
    <row r="875" spans="1:16" ht="15">
      <c r="A875" s="169"/>
      <c r="B875" s="176" t="s">
        <v>320</v>
      </c>
      <c r="C875" s="176" t="s">
        <v>737</v>
      </c>
      <c r="D875" s="169" t="s">
        <v>1194</v>
      </c>
      <c r="E875" s="173" t="s">
        <v>1682</v>
      </c>
      <c r="F875" s="173" t="s">
        <v>1682</v>
      </c>
      <c r="G875" s="173" t="s">
        <v>1682</v>
      </c>
      <c r="H875" s="205" t="s">
        <v>439</v>
      </c>
      <c r="I875" s="175" t="s">
        <v>756</v>
      </c>
      <c r="J875" s="176">
        <f>4.4+0.5+4.4+0.7</f>
        <v>10</v>
      </c>
      <c r="K875" s="173" t="s">
        <v>347</v>
      </c>
      <c r="L875" s="173" t="s">
        <v>347</v>
      </c>
      <c r="M875" s="173" t="s">
        <v>347</v>
      </c>
      <c r="N875" s="173" t="s">
        <v>347</v>
      </c>
      <c r="O875" s="173" t="s">
        <v>347</v>
      </c>
      <c r="P875" s="208" t="s">
        <v>128</v>
      </c>
    </row>
    <row r="876" spans="1:16" ht="15">
      <c r="A876" s="169"/>
      <c r="B876" s="176" t="s">
        <v>320</v>
      </c>
      <c r="C876" s="176" t="s">
        <v>737</v>
      </c>
      <c r="D876" s="169" t="s">
        <v>1194</v>
      </c>
      <c r="E876" s="173" t="s">
        <v>1682</v>
      </c>
      <c r="F876" s="173" t="s">
        <v>1682</v>
      </c>
      <c r="G876" s="173" t="s">
        <v>1682</v>
      </c>
      <c r="H876" s="205" t="s">
        <v>439</v>
      </c>
      <c r="I876" s="175" t="s">
        <v>756</v>
      </c>
      <c r="J876" s="176">
        <f>3.7+0.4+3.7+0.6</f>
        <v>8.4</v>
      </c>
      <c r="K876" s="173" t="s">
        <v>347</v>
      </c>
      <c r="L876" s="173" t="s">
        <v>347</v>
      </c>
      <c r="M876" s="173" t="s">
        <v>347</v>
      </c>
      <c r="N876" s="173" t="s">
        <v>347</v>
      </c>
      <c r="O876" s="173" t="s">
        <v>347</v>
      </c>
      <c r="P876" s="208" t="s">
        <v>128</v>
      </c>
    </row>
    <row r="877" spans="1:16" ht="15">
      <c r="A877" s="169"/>
      <c r="B877" s="176" t="s">
        <v>320</v>
      </c>
      <c r="C877" s="176" t="s">
        <v>737</v>
      </c>
      <c r="D877" s="169" t="s">
        <v>1194</v>
      </c>
      <c r="E877" s="173" t="s">
        <v>1682</v>
      </c>
      <c r="F877" s="173" t="s">
        <v>1682</v>
      </c>
      <c r="G877" s="173" t="s">
        <v>1682</v>
      </c>
      <c r="H877" s="205" t="s">
        <v>439</v>
      </c>
      <c r="I877" s="175" t="s">
        <v>756</v>
      </c>
      <c r="J877" s="176">
        <f>3.4+1+2.5+1.2</f>
        <v>8.1</v>
      </c>
      <c r="K877" s="173" t="s">
        <v>347</v>
      </c>
      <c r="L877" s="173" t="s">
        <v>347</v>
      </c>
      <c r="M877" s="173" t="s">
        <v>347</v>
      </c>
      <c r="N877" s="173" t="s">
        <v>347</v>
      </c>
      <c r="O877" s="173" t="s">
        <v>347</v>
      </c>
      <c r="P877" s="208" t="s">
        <v>127</v>
      </c>
    </row>
    <row r="878" spans="1:16" ht="15">
      <c r="A878" s="169"/>
      <c r="B878" s="176" t="s">
        <v>320</v>
      </c>
      <c r="C878" s="176" t="s">
        <v>737</v>
      </c>
      <c r="D878" s="169" t="s">
        <v>1194</v>
      </c>
      <c r="E878" s="173" t="s">
        <v>1682</v>
      </c>
      <c r="F878" s="173" t="s">
        <v>1682</v>
      </c>
      <c r="G878" s="173" t="s">
        <v>1682</v>
      </c>
      <c r="H878" s="205" t="s">
        <v>439</v>
      </c>
      <c r="I878" s="175" t="s">
        <v>756</v>
      </c>
      <c r="J878" s="176">
        <f>2.7+0.3+2.7+0.5</f>
        <v>6.2</v>
      </c>
      <c r="K878" s="173" t="s">
        <v>347</v>
      </c>
      <c r="L878" s="173" t="s">
        <v>347</v>
      </c>
      <c r="M878" s="173" t="s">
        <v>347</v>
      </c>
      <c r="N878" s="173" t="s">
        <v>347</v>
      </c>
      <c r="O878" s="173" t="s">
        <v>347</v>
      </c>
      <c r="P878" s="208" t="s">
        <v>128</v>
      </c>
    </row>
    <row r="879" spans="1:16" ht="16" thickBot="1">
      <c r="A879" s="169"/>
      <c r="B879" s="176" t="s">
        <v>320</v>
      </c>
      <c r="C879" s="176" t="s">
        <v>737</v>
      </c>
      <c r="D879" s="169" t="s">
        <v>1194</v>
      </c>
      <c r="E879" s="173" t="s">
        <v>1682</v>
      </c>
      <c r="F879" s="173" t="s">
        <v>1682</v>
      </c>
      <c r="G879" s="173" t="s">
        <v>1682</v>
      </c>
      <c r="H879" s="205" t="s">
        <v>439</v>
      </c>
      <c r="I879" s="206" t="s">
        <v>756</v>
      </c>
      <c r="J879" s="224">
        <f>1+0.1+1.1+0.3</f>
        <v>2.5</v>
      </c>
      <c r="K879" s="225" t="s">
        <v>347</v>
      </c>
      <c r="L879" s="225" t="s">
        <v>347</v>
      </c>
      <c r="M879" s="225" t="s">
        <v>347</v>
      </c>
      <c r="N879" s="225" t="s">
        <v>347</v>
      </c>
      <c r="O879" s="225" t="s">
        <v>347</v>
      </c>
      <c r="P879" s="208" t="s">
        <v>128</v>
      </c>
    </row>
    <row r="880" spans="1:16" ht="16" thickBot="1">
      <c r="A880" s="150"/>
      <c r="B880" s="104"/>
      <c r="C880" s="104"/>
      <c r="D880" s="103"/>
      <c r="E880" s="202"/>
      <c r="F880" s="202"/>
      <c r="G880" s="202"/>
      <c r="H880" s="106"/>
      <c r="I880" s="238" t="s">
        <v>756</v>
      </c>
      <c r="J880" s="239">
        <f>AVERAGE(J862:J879)</f>
        <v>14.605555555555554</v>
      </c>
      <c r="K880" s="240">
        <f>STDEV(J862:J879)</f>
        <v>6.7797685386677085</v>
      </c>
      <c r="L880" s="240" t="s">
        <v>1682</v>
      </c>
      <c r="M880" s="240" t="s">
        <v>1682</v>
      </c>
      <c r="N880" s="240" t="s">
        <v>1682</v>
      </c>
      <c r="O880" s="241" t="s">
        <v>1682</v>
      </c>
      <c r="P880" s="107"/>
    </row>
    <row r="881" spans="1:16" ht="15">
      <c r="A881" s="150"/>
      <c r="B881" s="104"/>
      <c r="C881" s="104"/>
      <c r="D881" s="103"/>
      <c r="E881" s="202"/>
      <c r="F881" s="202"/>
      <c r="G881" s="202"/>
      <c r="H881" s="106"/>
      <c r="I881" s="4"/>
      <c r="J881" s="104"/>
      <c r="K881" s="105"/>
      <c r="L881" s="105"/>
      <c r="M881" s="105"/>
      <c r="N881" s="105"/>
      <c r="O881" s="105"/>
      <c r="P881" s="107"/>
    </row>
    <row r="882" spans="1:16" ht="15">
      <c r="A882" s="312"/>
      <c r="B882" s="313"/>
      <c r="C882" s="313"/>
      <c r="D882" s="314"/>
      <c r="E882" s="315"/>
      <c r="F882" s="315"/>
      <c r="G882" s="315"/>
      <c r="H882" s="316"/>
      <c r="I882" s="317"/>
      <c r="J882" s="313"/>
      <c r="K882" s="318"/>
      <c r="L882" s="318"/>
      <c r="M882" s="318"/>
      <c r="N882" s="318"/>
      <c r="O882" s="318"/>
      <c r="P882" s="319"/>
    </row>
    <row r="883" spans="1:16" ht="15">
      <c r="A883" s="150"/>
      <c r="B883" s="104"/>
      <c r="C883" s="104"/>
      <c r="D883" s="103"/>
      <c r="E883" s="202"/>
      <c r="F883" s="202"/>
      <c r="G883" s="202"/>
      <c r="H883" s="106"/>
      <c r="I883" s="4"/>
      <c r="J883" s="104"/>
      <c r="K883" s="105"/>
      <c r="L883" s="105"/>
      <c r="M883" s="105"/>
      <c r="N883" s="105"/>
      <c r="O883" s="105"/>
      <c r="P883" s="107"/>
    </row>
    <row r="884" spans="1:16" ht="15">
      <c r="A884" s="169" t="s">
        <v>751</v>
      </c>
      <c r="B884" s="176" t="s">
        <v>752</v>
      </c>
      <c r="C884" s="176" t="s">
        <v>746</v>
      </c>
      <c r="D884" s="169" t="s">
        <v>662</v>
      </c>
      <c r="E884" s="173" t="s">
        <v>1682</v>
      </c>
      <c r="F884" s="173" t="s">
        <v>1682</v>
      </c>
      <c r="G884" s="173" t="s">
        <v>1682</v>
      </c>
      <c r="H884" s="205" t="s">
        <v>439</v>
      </c>
      <c r="I884" s="175" t="s">
        <v>756</v>
      </c>
      <c r="J884" s="176">
        <v>17</v>
      </c>
      <c r="K884" s="173" t="s">
        <v>347</v>
      </c>
      <c r="L884" s="173" t="s">
        <v>347</v>
      </c>
      <c r="M884" s="173" t="s">
        <v>347</v>
      </c>
      <c r="N884" s="173" t="s">
        <v>347</v>
      </c>
      <c r="O884" s="173" t="s">
        <v>347</v>
      </c>
      <c r="P884" s="208" t="s">
        <v>129</v>
      </c>
    </row>
    <row r="885" spans="1:16" ht="15">
      <c r="A885" s="169"/>
      <c r="B885" s="176" t="s">
        <v>752</v>
      </c>
      <c r="C885" s="176" t="s">
        <v>746</v>
      </c>
      <c r="D885" s="169" t="s">
        <v>662</v>
      </c>
      <c r="E885" s="173" t="s">
        <v>1682</v>
      </c>
      <c r="F885" s="173" t="s">
        <v>1682</v>
      </c>
      <c r="G885" s="173" t="s">
        <v>1682</v>
      </c>
      <c r="H885" s="205" t="s">
        <v>439</v>
      </c>
      <c r="I885" s="175" t="s">
        <v>756</v>
      </c>
      <c r="J885" s="176">
        <v>15</v>
      </c>
      <c r="K885" s="173" t="s">
        <v>347</v>
      </c>
      <c r="L885" s="173" t="s">
        <v>347</v>
      </c>
      <c r="M885" s="173" t="s">
        <v>347</v>
      </c>
      <c r="N885" s="173" t="s">
        <v>347</v>
      </c>
      <c r="O885" s="173" t="s">
        <v>347</v>
      </c>
      <c r="P885" s="208" t="s">
        <v>130</v>
      </c>
    </row>
    <row r="886" spans="1:16" ht="15">
      <c r="A886" s="169"/>
      <c r="B886" s="176" t="s">
        <v>752</v>
      </c>
      <c r="C886" s="176" t="s">
        <v>746</v>
      </c>
      <c r="D886" s="169" t="s">
        <v>662</v>
      </c>
      <c r="E886" s="173" t="s">
        <v>1682</v>
      </c>
      <c r="F886" s="173" t="s">
        <v>1682</v>
      </c>
      <c r="G886" s="173" t="s">
        <v>1682</v>
      </c>
      <c r="H886" s="205" t="s">
        <v>439</v>
      </c>
      <c r="I886" s="175" t="s">
        <v>756</v>
      </c>
      <c r="J886" s="176">
        <v>13</v>
      </c>
      <c r="K886" s="173" t="s">
        <v>347</v>
      </c>
      <c r="L886" s="173" t="s">
        <v>347</v>
      </c>
      <c r="M886" s="173" t="s">
        <v>347</v>
      </c>
      <c r="N886" s="173" t="s">
        <v>347</v>
      </c>
      <c r="O886" s="173" t="s">
        <v>347</v>
      </c>
      <c r="P886" s="208" t="s">
        <v>131</v>
      </c>
    </row>
    <row r="887" spans="1:16" ht="16" thickBot="1">
      <c r="A887" s="169"/>
      <c r="B887" s="176" t="s">
        <v>752</v>
      </c>
      <c r="C887" s="176" t="s">
        <v>746</v>
      </c>
      <c r="D887" s="169" t="s">
        <v>662</v>
      </c>
      <c r="E887" s="173" t="s">
        <v>1682</v>
      </c>
      <c r="F887" s="173" t="s">
        <v>1682</v>
      </c>
      <c r="G887" s="173" t="s">
        <v>1682</v>
      </c>
      <c r="H887" s="205" t="s">
        <v>439</v>
      </c>
      <c r="I887" s="206" t="s">
        <v>756</v>
      </c>
      <c r="J887" s="224">
        <v>5</v>
      </c>
      <c r="K887" s="225" t="s">
        <v>347</v>
      </c>
      <c r="L887" s="225" t="s">
        <v>347</v>
      </c>
      <c r="M887" s="225" t="s">
        <v>347</v>
      </c>
      <c r="N887" s="225" t="s">
        <v>347</v>
      </c>
      <c r="O887" s="225" t="s">
        <v>347</v>
      </c>
      <c r="P887" s="208" t="s">
        <v>132</v>
      </c>
    </row>
    <row r="888" spans="1:16" ht="16" thickBot="1">
      <c r="A888" s="150"/>
      <c r="B888" s="104"/>
      <c r="C888" s="104"/>
      <c r="D888" s="103"/>
      <c r="E888" s="202"/>
      <c r="F888" s="202"/>
      <c r="G888" s="202"/>
      <c r="H888" s="106"/>
      <c r="I888" s="238" t="s">
        <v>756</v>
      </c>
      <c r="J888" s="239">
        <f>AVERAGE(J884:J887)</f>
        <v>12.5</v>
      </c>
      <c r="K888" s="240">
        <f>STDEV(J884:J887)</f>
        <v>5.259911279353167</v>
      </c>
      <c r="L888" s="240" t="s">
        <v>1682</v>
      </c>
      <c r="M888" s="240" t="s">
        <v>1682</v>
      </c>
      <c r="N888" s="240" t="s">
        <v>1682</v>
      </c>
      <c r="O888" s="241" t="s">
        <v>1682</v>
      </c>
      <c r="P888" s="107"/>
    </row>
    <row r="889" spans="1:16" ht="15">
      <c r="A889" s="150"/>
      <c r="B889" s="104"/>
      <c r="C889" s="104"/>
      <c r="D889" s="103"/>
      <c r="E889" s="202"/>
      <c r="F889" s="202"/>
      <c r="G889" s="202"/>
      <c r="H889" s="106"/>
      <c r="I889" s="4"/>
      <c r="J889" s="104"/>
      <c r="K889" s="105"/>
      <c r="L889" s="105"/>
      <c r="M889" s="105"/>
      <c r="N889" s="105"/>
      <c r="O889" s="105"/>
      <c r="P889" s="107"/>
    </row>
    <row r="890" spans="1:16" ht="15">
      <c r="A890" s="312"/>
      <c r="B890" s="313"/>
      <c r="C890" s="313"/>
      <c r="D890" s="314"/>
      <c r="E890" s="315"/>
      <c r="F890" s="315"/>
      <c r="G890" s="315"/>
      <c r="H890" s="316"/>
      <c r="I890" s="317"/>
      <c r="J890" s="313"/>
      <c r="K890" s="318"/>
      <c r="L890" s="318"/>
      <c r="M890" s="318"/>
      <c r="N890" s="318"/>
      <c r="O890" s="318"/>
      <c r="P890" s="319"/>
    </row>
    <row r="891" spans="1:16" ht="15">
      <c r="A891" s="150"/>
      <c r="B891" s="104"/>
      <c r="C891" s="104"/>
      <c r="D891" s="103"/>
      <c r="E891" s="202"/>
      <c r="F891" s="202"/>
      <c r="G891" s="202"/>
      <c r="H891" s="106"/>
      <c r="I891" s="4"/>
      <c r="J891" s="104"/>
      <c r="K891" s="105"/>
      <c r="L891" s="105"/>
      <c r="M891" s="105"/>
      <c r="N891" s="105"/>
      <c r="O891" s="105"/>
      <c r="P891" s="107"/>
    </row>
    <row r="892" spans="1:16" ht="15">
      <c r="A892" s="169" t="s">
        <v>747</v>
      </c>
      <c r="B892" s="176" t="s">
        <v>513</v>
      </c>
      <c r="C892" s="176" t="s">
        <v>514</v>
      </c>
      <c r="D892" s="169" t="s">
        <v>793</v>
      </c>
      <c r="E892" s="173" t="s">
        <v>1682</v>
      </c>
      <c r="F892" s="173" t="s">
        <v>1682</v>
      </c>
      <c r="G892" s="173" t="s">
        <v>1682</v>
      </c>
      <c r="H892" s="205" t="s">
        <v>439</v>
      </c>
      <c r="I892" s="175" t="s">
        <v>756</v>
      </c>
      <c r="J892" s="176">
        <f>AVERAGE(1.43, 8.23)</f>
        <v>4.83</v>
      </c>
      <c r="K892" s="173" t="s">
        <v>347</v>
      </c>
      <c r="L892" s="173" t="s">
        <v>347</v>
      </c>
      <c r="M892" s="173" t="s">
        <v>347</v>
      </c>
      <c r="N892" s="173" t="s">
        <v>347</v>
      </c>
      <c r="O892" s="173" t="s">
        <v>347</v>
      </c>
      <c r="P892" s="208" t="s">
        <v>133</v>
      </c>
    </row>
    <row r="893" spans="1:16" ht="15">
      <c r="A893" s="169" t="s">
        <v>747</v>
      </c>
      <c r="B893" s="176" t="s">
        <v>513</v>
      </c>
      <c r="C893" s="176" t="s">
        <v>514</v>
      </c>
      <c r="D893" s="169" t="s">
        <v>793</v>
      </c>
      <c r="E893" s="173" t="s">
        <v>1682</v>
      </c>
      <c r="F893" s="173" t="s">
        <v>1682</v>
      </c>
      <c r="G893" s="173" t="s">
        <v>1682</v>
      </c>
      <c r="H893" s="205" t="s">
        <v>439</v>
      </c>
      <c r="I893" s="175" t="s">
        <v>756</v>
      </c>
      <c r="J893" s="177">
        <f>AVERAGE(3.61,3.78,7.48,2.9,3.44,3.65,4.28,4.45)</f>
        <v>4.1987500000000004</v>
      </c>
      <c r="K893" s="173" t="s">
        <v>347</v>
      </c>
      <c r="L893" s="173" t="s">
        <v>347</v>
      </c>
      <c r="M893" s="173" t="s">
        <v>347</v>
      </c>
      <c r="N893" s="173" t="s">
        <v>347</v>
      </c>
      <c r="O893" s="173" t="s">
        <v>347</v>
      </c>
      <c r="P893" s="208" t="s">
        <v>133</v>
      </c>
    </row>
    <row r="894" spans="1:16" ht="15">
      <c r="A894" s="169" t="s">
        <v>747</v>
      </c>
      <c r="B894" s="176" t="s">
        <v>513</v>
      </c>
      <c r="C894" s="176" t="s">
        <v>514</v>
      </c>
      <c r="D894" s="169" t="s">
        <v>793</v>
      </c>
      <c r="E894" s="173" t="s">
        <v>1682</v>
      </c>
      <c r="F894" s="173" t="s">
        <v>1682</v>
      </c>
      <c r="G894" s="173" t="s">
        <v>1682</v>
      </c>
      <c r="H894" s="205" t="s">
        <v>439</v>
      </c>
      <c r="I894" s="175" t="s">
        <v>756</v>
      </c>
      <c r="J894" s="177">
        <f>AVERAGE(6.97,3.15,5.88,1.68,2.66,0.67,1.93,2.35,8.23)</f>
        <v>3.7244444444444449</v>
      </c>
      <c r="K894" s="173" t="s">
        <v>347</v>
      </c>
      <c r="L894" s="173" t="s">
        <v>347</v>
      </c>
      <c r="M894" s="173" t="s">
        <v>347</v>
      </c>
      <c r="N894" s="173" t="s">
        <v>347</v>
      </c>
      <c r="O894" s="173" t="s">
        <v>347</v>
      </c>
      <c r="P894" s="208" t="s">
        <v>133</v>
      </c>
    </row>
    <row r="895" spans="1:16" ht="15">
      <c r="A895" s="169" t="s">
        <v>747</v>
      </c>
      <c r="B895" s="176" t="s">
        <v>513</v>
      </c>
      <c r="C895" s="176" t="s">
        <v>514</v>
      </c>
      <c r="D895" s="169" t="s">
        <v>794</v>
      </c>
      <c r="E895" s="173" t="s">
        <v>1682</v>
      </c>
      <c r="F895" s="173" t="s">
        <v>1682</v>
      </c>
      <c r="G895" s="173" t="s">
        <v>1682</v>
      </c>
      <c r="H895" s="205" t="s">
        <v>439</v>
      </c>
      <c r="I895" s="175" t="s">
        <v>756</v>
      </c>
      <c r="J895" s="177">
        <f>AVERAGE(4.37,3.61,3.95,4.12,2.02,3.3,3.53)</f>
        <v>3.5571428571428574</v>
      </c>
      <c r="K895" s="173" t="s">
        <v>347</v>
      </c>
      <c r="L895" s="173" t="s">
        <v>347</v>
      </c>
      <c r="M895" s="173" t="s">
        <v>347</v>
      </c>
      <c r="N895" s="173" t="s">
        <v>347</v>
      </c>
      <c r="O895" s="173" t="s">
        <v>347</v>
      </c>
      <c r="P895" s="208" t="s">
        <v>133</v>
      </c>
    </row>
    <row r="896" spans="1:16" ht="16" thickBot="1">
      <c r="A896" s="169" t="s">
        <v>747</v>
      </c>
      <c r="B896" s="176" t="s">
        <v>513</v>
      </c>
      <c r="C896" s="176" t="s">
        <v>514</v>
      </c>
      <c r="D896" s="169" t="s">
        <v>793</v>
      </c>
      <c r="E896" s="173" t="s">
        <v>1682</v>
      </c>
      <c r="F896" s="173" t="s">
        <v>1682</v>
      </c>
      <c r="G896" s="173" t="s">
        <v>1682</v>
      </c>
      <c r="H896" s="205" t="s">
        <v>439</v>
      </c>
      <c r="I896" s="206" t="s">
        <v>756</v>
      </c>
      <c r="J896" s="209">
        <f>AVERAGE(1.43,3.36,1.93,3.4,4.75,2.87,2.69,2.27)</f>
        <v>2.8374999999999999</v>
      </c>
      <c r="K896" s="225" t="s">
        <v>347</v>
      </c>
      <c r="L896" s="225" t="s">
        <v>347</v>
      </c>
      <c r="M896" s="225" t="s">
        <v>347</v>
      </c>
      <c r="N896" s="225" t="s">
        <v>347</v>
      </c>
      <c r="O896" s="225" t="s">
        <v>347</v>
      </c>
      <c r="P896" s="208" t="s">
        <v>133</v>
      </c>
    </row>
    <row r="897" spans="1:17" ht="16" thickBot="1">
      <c r="A897" s="150"/>
      <c r="B897" s="104"/>
      <c r="C897" s="104"/>
      <c r="D897" s="103"/>
      <c r="E897" s="202"/>
      <c r="F897" s="202"/>
      <c r="G897" s="202"/>
      <c r="H897" s="106"/>
      <c r="I897" s="238" t="s">
        <v>756</v>
      </c>
      <c r="J897" s="242">
        <f>AVERAGE(J892:J896)</f>
        <v>3.8295674603174605</v>
      </c>
      <c r="K897" s="240">
        <f>STDEV(J892:J896)</f>
        <v>0.74273563142680932</v>
      </c>
      <c r="L897" s="240" t="s">
        <v>1682</v>
      </c>
      <c r="M897" s="240" t="s">
        <v>1682</v>
      </c>
      <c r="N897" s="240" t="s">
        <v>1682</v>
      </c>
      <c r="O897" s="241" t="s">
        <v>1682</v>
      </c>
      <c r="P897" s="107"/>
    </row>
    <row r="898" spans="1:17" ht="15">
      <c r="A898" s="150"/>
      <c r="B898" s="104"/>
      <c r="C898" s="104"/>
      <c r="D898" s="103"/>
      <c r="E898" s="202"/>
      <c r="F898" s="202"/>
      <c r="G898" s="202"/>
      <c r="H898" s="106"/>
      <c r="I898" s="4"/>
      <c r="J898" s="154"/>
      <c r="K898" s="105"/>
      <c r="L898" s="105"/>
      <c r="M898" s="105"/>
      <c r="N898" s="105"/>
      <c r="O898" s="105"/>
      <c r="P898" s="107"/>
    </row>
    <row r="899" spans="1:17" ht="15">
      <c r="A899" s="312"/>
      <c r="B899" s="313"/>
      <c r="C899" s="313"/>
      <c r="D899" s="314"/>
      <c r="E899" s="315"/>
      <c r="F899" s="315"/>
      <c r="G899" s="315"/>
      <c r="H899" s="316"/>
      <c r="I899" s="317"/>
      <c r="J899" s="320"/>
      <c r="K899" s="318"/>
      <c r="L899" s="318"/>
      <c r="M899" s="318"/>
      <c r="N899" s="318"/>
      <c r="O899" s="318"/>
      <c r="P899" s="319"/>
    </row>
    <row r="900" spans="1:17" ht="16" thickBot="1">
      <c r="A900" s="150"/>
      <c r="B900" s="104"/>
      <c r="C900" s="104"/>
      <c r="D900" s="103"/>
      <c r="E900" s="202"/>
      <c r="F900" s="202"/>
      <c r="G900" s="202"/>
      <c r="H900" s="106"/>
      <c r="I900" s="4"/>
      <c r="J900" s="154"/>
      <c r="K900" s="105"/>
      <c r="L900" s="105"/>
      <c r="M900" s="105"/>
      <c r="N900" s="105"/>
      <c r="O900" s="105"/>
      <c r="P900" s="107"/>
    </row>
    <row r="901" spans="1:17" ht="16" thickBot="1">
      <c r="A901" s="169" t="s">
        <v>748</v>
      </c>
      <c r="B901" s="176" t="s">
        <v>753</v>
      </c>
      <c r="C901" s="176" t="s">
        <v>738</v>
      </c>
      <c r="D901" s="169" t="s">
        <v>293</v>
      </c>
      <c r="E901" s="173" t="s">
        <v>1682</v>
      </c>
      <c r="F901" s="173" t="s">
        <v>1682</v>
      </c>
      <c r="G901" s="173" t="s">
        <v>1682</v>
      </c>
      <c r="H901" s="234" t="s">
        <v>439</v>
      </c>
      <c r="I901" s="245" t="s">
        <v>1826</v>
      </c>
      <c r="J901" s="227">
        <v>5</v>
      </c>
      <c r="K901" s="228" t="s">
        <v>1826</v>
      </c>
      <c r="L901" s="228" t="s">
        <v>1826</v>
      </c>
      <c r="M901" s="228" t="s">
        <v>1826</v>
      </c>
      <c r="N901" s="228" t="s">
        <v>1826</v>
      </c>
      <c r="O901" s="229" t="s">
        <v>1826</v>
      </c>
      <c r="P901" s="235" t="s">
        <v>532</v>
      </c>
    </row>
    <row r="902" spans="1:17" ht="15">
      <c r="A902" s="150"/>
      <c r="B902" s="104"/>
      <c r="C902" s="104"/>
      <c r="D902" s="103"/>
      <c r="E902" s="202"/>
      <c r="F902" s="202"/>
      <c r="G902" s="202"/>
      <c r="H902" s="106"/>
      <c r="I902" s="4"/>
      <c r="J902" s="104"/>
      <c r="K902" s="105"/>
      <c r="L902" s="105"/>
      <c r="M902" s="105"/>
      <c r="N902" s="105"/>
      <c r="O902" s="105"/>
      <c r="P902" s="107"/>
    </row>
    <row r="903" spans="1:17" ht="15">
      <c r="A903" s="312"/>
      <c r="B903" s="313"/>
      <c r="C903" s="313"/>
      <c r="D903" s="314"/>
      <c r="E903" s="315"/>
      <c r="F903" s="315"/>
      <c r="G903" s="315"/>
      <c r="H903" s="316"/>
      <c r="I903" s="317"/>
      <c r="J903" s="313"/>
      <c r="K903" s="318"/>
      <c r="L903" s="318"/>
      <c r="M903" s="318"/>
      <c r="N903" s="318"/>
      <c r="O903" s="318"/>
      <c r="P903" s="319"/>
    </row>
    <row r="904" spans="1:17" ht="16" thickBot="1">
      <c r="A904" s="150"/>
      <c r="B904" s="104"/>
      <c r="C904" s="104"/>
      <c r="D904" s="103"/>
      <c r="E904" s="202"/>
      <c r="F904" s="202"/>
      <c r="G904" s="202"/>
      <c r="H904" s="106"/>
      <c r="I904" s="4"/>
      <c r="J904" s="104"/>
      <c r="K904" s="105"/>
      <c r="L904" s="105"/>
      <c r="M904" s="105"/>
      <c r="N904" s="105"/>
      <c r="O904" s="105"/>
      <c r="P904" s="107"/>
    </row>
    <row r="905" spans="1:17" ht="16" thickBot="1">
      <c r="A905" s="169" t="s">
        <v>739</v>
      </c>
      <c r="B905" s="176" t="s">
        <v>278</v>
      </c>
      <c r="C905" s="176" t="s">
        <v>279</v>
      </c>
      <c r="D905" s="169" t="s">
        <v>346</v>
      </c>
      <c r="E905" s="173" t="s">
        <v>1682</v>
      </c>
      <c r="F905" s="173" t="s">
        <v>1682</v>
      </c>
      <c r="G905" s="173" t="s">
        <v>1682</v>
      </c>
      <c r="H905" s="234" t="s">
        <v>439</v>
      </c>
      <c r="I905" s="245" t="s">
        <v>1826</v>
      </c>
      <c r="J905" s="227">
        <f>AVERAGE(2.9, 6.2)</f>
        <v>4.55</v>
      </c>
      <c r="K905" s="228" t="s">
        <v>1826</v>
      </c>
      <c r="L905" s="228" t="s">
        <v>1826</v>
      </c>
      <c r="M905" s="228" t="s">
        <v>1826</v>
      </c>
      <c r="N905" s="228" t="s">
        <v>1826</v>
      </c>
      <c r="O905" s="229" t="s">
        <v>1826</v>
      </c>
      <c r="P905" s="235" t="s">
        <v>134</v>
      </c>
    </row>
    <row r="907" spans="1:17">
      <c r="A907" s="321"/>
      <c r="B907" s="321"/>
      <c r="C907" s="321"/>
      <c r="D907" s="321"/>
      <c r="E907" s="317"/>
      <c r="F907" s="321"/>
      <c r="G907" s="321"/>
      <c r="H907" s="321"/>
      <c r="I907" s="321"/>
      <c r="J907" s="317"/>
      <c r="K907" s="317"/>
      <c r="L907" s="317"/>
      <c r="M907" s="317"/>
      <c r="N907" s="317"/>
      <c r="O907" s="317"/>
      <c r="P907" s="321"/>
    </row>
    <row r="910" spans="1:17" ht="14" thickBot="1"/>
    <row r="911" spans="1:17" ht="14" thickBot="1">
      <c r="A911" s="537" t="s">
        <v>2090</v>
      </c>
      <c r="B911" s="538"/>
      <c r="C911" s="538"/>
      <c r="D911" s="539"/>
      <c r="E911" s="74"/>
      <c r="F911" s="3"/>
      <c r="G911" s="3"/>
      <c r="H911" s="3"/>
      <c r="I911" s="355" t="s">
        <v>2001</v>
      </c>
      <c r="J911" s="353">
        <f>ROUND(AVERAGE(J121,J171,J172,J185,J281,J282,J294,J302,J361,J362,J370,J376,J425,J426,J457,J458,J465,J469,J479,J495,J527,J562),1)</f>
        <v>7.6</v>
      </c>
      <c r="K911" s="353">
        <f>ROUND(STDEV(J121,J171,J172,J185,J281,J282,J294,J302,J361,J362,J370,J376,J425,J426,J457,J458,J465,J469,J479,J495,J527,J562),1)</f>
        <v>6.5</v>
      </c>
      <c r="L911" s="386">
        <f>ROUND(AVERAGE(L121,L171,L172,L185,L281,L282,L294,L302,L361,L362,L370,L376,L425,L426,L457,L458,L465,L469,L479,L495,L527,L562),1)</f>
        <v>71.3</v>
      </c>
      <c r="M911" s="353">
        <f>ROUND(STDEV(L121,L171,L172,L185,L281,L282,L294,L302,L361,L362,L370,L376,L425,L426,L457,L458,L465,L469,L479,L495,L527,L562),1)</f>
        <v>25.6</v>
      </c>
      <c r="N911" s="353">
        <f>ROUND(AVERAGE(N121,N171,N172,N185,N281,N282,N294,N302,N361,N362,N370,N376,N425,N426,N457,N458,N465,N469,N479,N495,N527,N562),1)</f>
        <v>4.5999999999999996</v>
      </c>
      <c r="O911" s="354">
        <f>ROUND(STDEV(N121,N171,N172,N185,N281,N282,N294,N302,N361,N362,N370,N376,N425,N426,N457,N458,N465,N469,N479,N495,N527,N562),1)</f>
        <v>2.2000000000000002</v>
      </c>
      <c r="P911" s="3"/>
      <c r="Q911" s="140"/>
    </row>
    <row r="912" spans="1:17" ht="14" thickBot="1">
      <c r="A912" s="540" t="s">
        <v>2065</v>
      </c>
      <c r="B912" s="541"/>
      <c r="C912" s="541"/>
      <c r="D912" s="542"/>
      <c r="E912" s="74"/>
      <c r="F912" s="3"/>
      <c r="G912" s="3"/>
      <c r="H912" s="3"/>
      <c r="I912" s="356" t="s">
        <v>2002</v>
      </c>
      <c r="J912" s="357">
        <f>ROUND(AVERAGE(J121,J171,J172,J185,J281,J282,J294,J302),1)</f>
        <v>5.3</v>
      </c>
      <c r="K912" s="357">
        <f>ROUND(STDEV(J121,J171,J172,J185,J281,J282,J294,J302),1)</f>
        <v>2.4</v>
      </c>
      <c r="L912" s="357">
        <f>ROUND(AVERAGE(L121,L171,L172,L185,L281,L282,L294,L302),1)</f>
        <v>72.5</v>
      </c>
      <c r="M912" s="357">
        <f>ROUND(STDEV(L121,L171,L172,L185,L281,L282,L294,L302),1)</f>
        <v>22.4</v>
      </c>
      <c r="N912" s="357">
        <f>ROUND(AVERAGE(N121,N171,N172,N185,N281,N282,N294,N302),1)</f>
        <v>3.4</v>
      </c>
      <c r="O912" s="358">
        <f>ROUND(STDEV(N121,N171,N172,N185,N281,N282,N294,N302),1)</f>
        <v>1</v>
      </c>
      <c r="P912" s="3"/>
      <c r="Q912" s="140"/>
    </row>
    <row r="913" spans="1:17">
      <c r="A913" s="3"/>
      <c r="B913" s="5"/>
      <c r="C913" s="5"/>
      <c r="D913" s="3"/>
      <c r="E913" s="74"/>
      <c r="F913" s="3"/>
      <c r="G913" s="3"/>
      <c r="H913" s="3"/>
      <c r="I913" s="356" t="s">
        <v>1804</v>
      </c>
      <c r="J913" s="357">
        <f>ROUND(AVERAGE(J361,J362,J370,J376,J425,J426,J457,J458),1)</f>
        <v>8.1999999999999993</v>
      </c>
      <c r="K913" s="357">
        <f>ROUND(STDEV(J361,J362,J370,J376,J425,J426,J457,J458),1)</f>
        <v>1.6</v>
      </c>
      <c r="L913" s="357">
        <f>ROUND(AVERAGE(L361,L362,L370,L376,L425,L426,L457,L458),1)</f>
        <v>76.2</v>
      </c>
      <c r="M913" s="357">
        <f>ROUND(STDEV(L361,L362,L370,L376,L425,L426,L457,L458),1)</f>
        <v>25.7</v>
      </c>
      <c r="N913" s="357">
        <f>ROUND(AVERAGE(N361,N362,N370,N376,N425,N426,N457,N458),1)</f>
        <v>6</v>
      </c>
      <c r="O913" s="358">
        <f>ROUND(STDEV(N361,N362,N370,N376,N425,N426,N457,N458),1)</f>
        <v>2.4</v>
      </c>
      <c r="P913" s="3"/>
      <c r="Q913" s="140"/>
    </row>
    <row r="914" spans="1:17">
      <c r="A914" s="3"/>
      <c r="B914" s="5"/>
      <c r="C914" s="5"/>
      <c r="D914" s="3"/>
      <c r="E914" s="74"/>
      <c r="F914" s="3"/>
      <c r="G914" s="3"/>
      <c r="H914" s="3"/>
      <c r="I914" s="356" t="s">
        <v>1805</v>
      </c>
      <c r="J914" s="357">
        <f>ROUND(AVERAGE(J465,J469,J479,J495,J527),1)</f>
        <v>5.0999999999999996</v>
      </c>
      <c r="K914" s="357">
        <f>ROUND(STDEV(J465,J469,J479,J495,J527),1)</f>
        <v>2.2000000000000002</v>
      </c>
      <c r="L914" s="387">
        <f>ROUND(AVERAGE(L465,L469,L479,L495,L527),1)</f>
        <v>71.400000000000006</v>
      </c>
      <c r="M914" s="357">
        <f>ROUND(STDEV(L465,L469,L479,L495,L527),1)</f>
        <v>27.8</v>
      </c>
      <c r="N914" s="357">
        <f>ROUND(AVERAGE(N465,N469,N479,N495,N527),1)</f>
        <v>3.6</v>
      </c>
      <c r="O914" s="358">
        <f>ROUND(STDEV(N465,N469,N479,N495,N527),1)</f>
        <v>1.6</v>
      </c>
      <c r="P914" s="3"/>
      <c r="Q914" s="140"/>
    </row>
    <row r="915" spans="1:17">
      <c r="A915" s="3"/>
      <c r="B915" s="5"/>
      <c r="C915" s="5"/>
      <c r="D915" s="3"/>
      <c r="E915" s="74"/>
      <c r="F915" s="3"/>
      <c r="G915" s="3"/>
      <c r="H915" s="3"/>
      <c r="I915" s="356" t="s">
        <v>1733</v>
      </c>
      <c r="J915" s="357">
        <f>J562</f>
        <v>34.700000000000003</v>
      </c>
      <c r="K915" s="357">
        <f t="shared" ref="K915:O915" si="50">K562</f>
        <v>6.4</v>
      </c>
      <c r="L915" s="357">
        <f t="shared" si="50"/>
        <v>22.4</v>
      </c>
      <c r="M915" s="357">
        <f t="shared" si="50"/>
        <v>7.7</v>
      </c>
      <c r="N915" s="357">
        <f t="shared" si="50"/>
        <v>7.7</v>
      </c>
      <c r="O915" s="358">
        <f t="shared" si="50"/>
        <v>2.6</v>
      </c>
      <c r="P915" s="3"/>
      <c r="Q915" s="140"/>
    </row>
    <row r="916" spans="1:17">
      <c r="A916" s="3"/>
      <c r="B916" s="5"/>
      <c r="C916" s="5"/>
      <c r="D916" s="3"/>
      <c r="E916" s="74"/>
      <c r="F916" s="3"/>
      <c r="G916" s="3"/>
      <c r="H916" s="3"/>
      <c r="I916" s="565" t="s">
        <v>2129</v>
      </c>
      <c r="J916" s="357">
        <f>ROUND(AVERAGE(J121,J171,J281,J294,J302,J361,J370,J376,J425,J457,J469,J479,J495),1)</f>
        <v>5.3</v>
      </c>
      <c r="K916" s="357">
        <f>ROUND(STDEV(J121,J171,J281,J294,J302,J361,J370,J376,J425,J457,J469,J479,J495),1)</f>
        <v>2</v>
      </c>
      <c r="L916" s="357">
        <f>ROUND(AVERAGE(L121,L171,L281,L294,L302,L361,L370,L376,L425,L457,L469,L479,L495),1)</f>
        <v>80.5</v>
      </c>
      <c r="M916" s="357">
        <f>ROUND(STDEV(L121,L171,L281,L294,L302,L361,L370,L376,L425,L457,L469,L479,L495),1)</f>
        <v>16</v>
      </c>
      <c r="N916" s="357">
        <f>ROUND(AVERAGE(N121,N171,N281,N294,N302,N361,N370,N376,N425,N457,N469,N479,N495),1)</f>
        <v>4.3</v>
      </c>
      <c r="O916" s="358">
        <f>ROUND(STDEV(N121,N171,N281,N294,N302,N361,N370,N376,N425,N457,N469,N479,N495),1)</f>
        <v>2.2000000000000002</v>
      </c>
      <c r="P916" s="3"/>
      <c r="Q916" s="140"/>
    </row>
    <row r="917" spans="1:17" ht="14" thickBot="1">
      <c r="A917" s="3"/>
      <c r="B917" s="5"/>
      <c r="C917" s="5"/>
      <c r="D917" s="3"/>
      <c r="E917" s="74"/>
      <c r="F917" s="3"/>
      <c r="G917" s="3"/>
      <c r="H917" s="3"/>
      <c r="I917" s="566" t="s">
        <v>2130</v>
      </c>
      <c r="J917" s="373">
        <f>ROUND(AVERAGE(J172,J185,J282,J362,J426,J458,J465,J527,J562),1)</f>
        <v>11</v>
      </c>
      <c r="K917" s="373">
        <f>ROUND(STDEV(J172,J185,J282,J362,J426,J458,J465, J527,J562),1)</f>
        <v>9.1</v>
      </c>
      <c r="L917" s="389">
        <f>ROUND(AVERAGE(L172,L185,L282,L362,L426,L458,L465,L527,L562),1)</f>
        <v>58</v>
      </c>
      <c r="M917" s="373">
        <f>ROUND(STDEV(L172,L185,L282,L362,L426,L458,L465, L527,L562),1)</f>
        <v>31.7</v>
      </c>
      <c r="N917" s="373">
        <f>ROUND(AVERAGE(N172,N185,N282,N362,N426,N458,N465,N527,N562),1)</f>
        <v>5.0999999999999996</v>
      </c>
      <c r="O917" s="374">
        <f>ROUND(STDEV(N172,N185,N282,N362,N426,N458,N465,N527,N562),1)</f>
        <v>2.2000000000000002</v>
      </c>
      <c r="P917" s="3"/>
      <c r="Q917" s="140"/>
    </row>
    <row r="918" spans="1:17" ht="14" thickBot="1">
      <c r="A918" s="3"/>
      <c r="B918" s="5"/>
      <c r="C918" s="5"/>
      <c r="D918" s="3"/>
      <c r="E918" s="74"/>
      <c r="F918" s="3"/>
      <c r="G918" s="3"/>
      <c r="H918" s="3"/>
      <c r="I918" s="60"/>
      <c r="J918" s="80"/>
      <c r="K918" s="80"/>
      <c r="L918" s="80"/>
      <c r="M918" s="80"/>
      <c r="N918" s="80"/>
      <c r="O918" s="80"/>
      <c r="P918" s="3"/>
      <c r="Q918" s="140"/>
    </row>
    <row r="919" spans="1:17">
      <c r="A919" s="3"/>
      <c r="B919" s="5"/>
      <c r="C919" s="5"/>
      <c r="D919" s="3"/>
      <c r="E919" s="74"/>
      <c r="F919" s="3"/>
      <c r="G919" s="3"/>
      <c r="H919" s="3"/>
      <c r="I919" s="375" t="s">
        <v>2001</v>
      </c>
      <c r="J919" s="377">
        <f>ROUND(AVERAGE(J121,J171,J172,J185,J281,J282,J294,J302,J361,J362,J370,J376,J425,J426,J457,J458,J465,J469,J479,J495,J527,J562,J570:J626,J636,J650,J658,J682,J664,J690,J703,J718,J719,J723,J809,J813,J820,J824,J828,J835,J841:J858,J880,J888,J897,J901,J905),1)</f>
        <v>6.1</v>
      </c>
      <c r="K919" s="376">
        <f>ROUND(STDEV(J121,J171,J172,J185,J281,J282,J294,J302,J361,J362,J370,J376,J425,J426,J457,J458,J465,J469,J479,J495,J527,J562,J570:J626,J636,J650,J658,J682,J664,J690,J703,J718,J719,J723,J809,J813,J820,J824,J828,J835,J841:J858,J880,J888,J897,J901,J905),1)</f>
        <v>4.2</v>
      </c>
      <c r="L919" s="377">
        <v>71.3</v>
      </c>
      <c r="M919" s="376">
        <v>25.6</v>
      </c>
      <c r="N919" s="376">
        <v>4.5999999999999996</v>
      </c>
      <c r="O919" s="378">
        <v>2.2000000000000002</v>
      </c>
      <c r="P919" s="3"/>
      <c r="Q919" s="140"/>
    </row>
    <row r="920" spans="1:17">
      <c r="A920" s="3"/>
      <c r="B920" s="5"/>
      <c r="C920" s="5"/>
      <c r="D920" s="3"/>
      <c r="E920" s="74"/>
      <c r="F920" s="3"/>
      <c r="G920" s="3"/>
      <c r="H920" s="3"/>
      <c r="I920" s="379" t="s">
        <v>2002</v>
      </c>
      <c r="J920" s="380">
        <f>ROUND(AVERAGE(J121,J171,J172,J185,J281,J282,J294,J302,J570:J626),1)</f>
        <v>4.8</v>
      </c>
      <c r="K920" s="380">
        <f>ROUND(STDEV(J121,J171,J172,J185,J281,J282,J294,J302,J570:J626),1)</f>
        <v>3</v>
      </c>
      <c r="L920" s="380">
        <v>72.5</v>
      </c>
      <c r="M920" s="380">
        <v>22.4</v>
      </c>
      <c r="N920" s="380">
        <v>3.4</v>
      </c>
      <c r="O920" s="381">
        <v>1</v>
      </c>
      <c r="P920" s="3"/>
      <c r="Q920" s="140"/>
    </row>
    <row r="921" spans="1:17">
      <c r="A921" s="3"/>
      <c r="B921" s="5"/>
      <c r="C921" s="5"/>
      <c r="D921" s="3"/>
      <c r="E921" s="74"/>
      <c r="F921" s="3"/>
      <c r="G921" s="3"/>
      <c r="H921" s="3"/>
      <c r="I921" s="379" t="s">
        <v>1804</v>
      </c>
      <c r="J921" s="380">
        <v>8.1999999999999993</v>
      </c>
      <c r="K921" s="380">
        <v>1.6</v>
      </c>
      <c r="L921" s="380">
        <v>76.2</v>
      </c>
      <c r="M921" s="380">
        <v>25.7</v>
      </c>
      <c r="N921" s="380">
        <v>6</v>
      </c>
      <c r="O921" s="381">
        <v>2.4</v>
      </c>
      <c r="P921" s="3"/>
      <c r="Q921" s="140"/>
    </row>
    <row r="922" spans="1:17">
      <c r="A922" s="3"/>
      <c r="B922" s="5"/>
      <c r="C922" s="5"/>
      <c r="D922" s="3"/>
      <c r="E922" s="74"/>
      <c r="F922" s="3"/>
      <c r="G922" s="3"/>
      <c r="H922" s="3"/>
      <c r="I922" s="379" t="s">
        <v>1805</v>
      </c>
      <c r="J922" s="382">
        <f>ROUND(AVERAGE(J465,J469,J479,J495,J527+J636,J650,J658,J664,J682,J690,J703,J718,J719,J723,J809,J813,J820,J824,J828,J835,J841:J858,J880,J888,J897,J901,J905),1)</f>
        <v>7</v>
      </c>
      <c r="K922" s="380">
        <f>ROUND(STDEV(J465,J469,J479,J495,J527+J636,J650,J658,J664,J682,J690,J703,J718,J719,J723,J809,J813,J820,J824,J828,J835,J841:J858,J880,J888,J897,J901,J905),1)</f>
        <v>3.6</v>
      </c>
      <c r="L922" s="382">
        <v>71.400000000000006</v>
      </c>
      <c r="M922" s="380">
        <v>27.8</v>
      </c>
      <c r="N922" s="380">
        <v>3.6</v>
      </c>
      <c r="O922" s="381">
        <v>1.6</v>
      </c>
      <c r="P922" s="3"/>
      <c r="Q922" s="140"/>
    </row>
    <row r="923" spans="1:17">
      <c r="A923" s="3"/>
      <c r="B923" s="5"/>
      <c r="C923" s="5"/>
      <c r="D923" s="3"/>
      <c r="E923" s="74"/>
      <c r="F923" s="3"/>
      <c r="G923" s="3"/>
      <c r="H923" s="3"/>
      <c r="I923" s="379" t="s">
        <v>1733</v>
      </c>
      <c r="J923" s="382">
        <v>34.700000000000003</v>
      </c>
      <c r="K923" s="380">
        <v>6.4</v>
      </c>
      <c r="L923" s="382">
        <v>22.4</v>
      </c>
      <c r="M923" s="380">
        <v>7.7</v>
      </c>
      <c r="N923" s="380">
        <v>7.7</v>
      </c>
      <c r="O923" s="381">
        <v>2.6</v>
      </c>
      <c r="P923" s="3"/>
      <c r="Q923" s="140"/>
    </row>
    <row r="924" spans="1:17">
      <c r="A924" s="3"/>
      <c r="B924" s="5"/>
      <c r="C924" s="5"/>
      <c r="D924" s="3"/>
      <c r="E924" s="74"/>
      <c r="F924" s="3"/>
      <c r="G924" s="3"/>
      <c r="H924" s="3"/>
      <c r="I924" s="567" t="s">
        <v>2131</v>
      </c>
      <c r="J924" s="382">
        <f>ROUND(AVERAGE(J121,J171,J281,J294,J302,J361,J370,J376,J425,J457,J469,J479,J495,J570,J571,J572,J573,J574,J597,J596,J595,J605,J606,J636,J650,J664,J682,J703,J809,J813,J820,J828,J888,J901),1)</f>
        <v>4.5999999999999996</v>
      </c>
      <c r="K924" s="380">
        <f>ROUND(STDEV(J121,J171,J281,J294,J302,J361,J370,J376,J425,J457,J469,J479,J495,J570,J571,J572,J573,J574,J597,J596,J595,J605,J606,J636,J650,J664,J682,J703,J809,J813,J820,J828,J888,J901),1)</f>
        <v>2.4</v>
      </c>
      <c r="L924" s="380">
        <v>80.5</v>
      </c>
      <c r="M924" s="380">
        <v>16</v>
      </c>
      <c r="N924" s="380">
        <v>4.3</v>
      </c>
      <c r="O924" s="381">
        <v>2.2000000000000002</v>
      </c>
      <c r="P924" s="3"/>
      <c r="Q924" s="140"/>
    </row>
    <row r="925" spans="1:17" ht="14" thickBot="1">
      <c r="A925" s="3"/>
      <c r="B925" s="5"/>
      <c r="C925" s="5"/>
      <c r="D925" s="3"/>
      <c r="E925" s="74"/>
      <c r="F925" s="3"/>
      <c r="G925" s="3"/>
      <c r="H925" s="3"/>
      <c r="I925" s="568" t="s">
        <v>2130</v>
      </c>
      <c r="J925" s="384">
        <f>ROUND(AVERAGE(J172,J185,J282,J362,J426,J458,J465,J527,J562,J905,J897,J880,J858,J835,J824,J723,J719,J718,J658,J626,J625,J624,J623,J622,J621,J620,J619,J618,J617,J616,J615,J614,J613,J612,J611,J610,J609,J608,J607,J606,J605,J604,J603,J602,J599,J600,J601,J598,J597,J596,J595,J594,J593,J575:J592),1)</f>
        <v>6.3</v>
      </c>
      <c r="K925" s="383">
        <f>ROUND(STDEV(J172,J185,J282,J362,J426,J458,J465,J527,J562,J905,J897,J880,J858,J835,J824,J723,J719,J718,J658,J626,J625,J624,J623,J622,J621,J620,J619,J618,J617,J616,J615,J614,J613,J612,J611,J610,J609,J608,J607,J606,J605,J604,J603,J602,J599,J600,J601,J598,J597,J596,J595,J594,J593,J575:J592),1)</f>
        <v>5.0999999999999996</v>
      </c>
      <c r="L925" s="384">
        <v>58</v>
      </c>
      <c r="M925" s="383">
        <v>31.7</v>
      </c>
      <c r="N925" s="383">
        <v>5.0999999999999996</v>
      </c>
      <c r="O925" s="385">
        <v>2.2000000000000002</v>
      </c>
      <c r="P925" s="3"/>
      <c r="Q925" s="140"/>
    </row>
    <row r="926" spans="1:17" ht="14" thickBot="1">
      <c r="A926" s="3"/>
      <c r="B926" s="5"/>
      <c r="C926" s="5"/>
      <c r="D926" s="3"/>
      <c r="E926" s="74"/>
      <c r="F926" s="3"/>
      <c r="G926" s="3"/>
      <c r="H926" s="3"/>
      <c r="I926" s="60"/>
      <c r="J926" s="80"/>
      <c r="K926" s="80"/>
      <c r="L926" s="80"/>
      <c r="M926" s="80"/>
      <c r="N926" s="80"/>
      <c r="O926" s="80"/>
      <c r="P926" s="3"/>
      <c r="Q926" s="140"/>
    </row>
    <row r="927" spans="1:17">
      <c r="A927" s="3"/>
      <c r="B927" s="5"/>
      <c r="C927" s="5"/>
      <c r="D927" s="3"/>
      <c r="E927" s="74"/>
      <c r="F927" s="3"/>
      <c r="G927" s="3"/>
      <c r="H927" s="3"/>
      <c r="I927" s="413" t="s">
        <v>2051</v>
      </c>
      <c r="J927" s="414">
        <f>ROUND(AVERAGE(J110,J159,J174,J274,J350,J416,J478,J561),1)</f>
        <v>2.1</v>
      </c>
      <c r="K927" s="414">
        <f>ROUND(STDEV(J110,J159,J174,J274,J350,J416,J478,J561),1)</f>
        <v>0.5</v>
      </c>
      <c r="L927" s="414">
        <f>ROUND(AVERAGE(L110,L159,L174,L274,L350,L416,L478,L561),1)</f>
        <v>88.2</v>
      </c>
      <c r="M927" s="414">
        <f>ROUND(STDEV(L110,L159,L174,L274,L350,L416,L478,L561),1)</f>
        <v>13.3</v>
      </c>
      <c r="N927" s="414">
        <f>ROUND(AVERAGE(N110,N159,N174,N274,N350,N416,N478,N561),1)</f>
        <v>1.9</v>
      </c>
      <c r="O927" s="415">
        <f>ROUND(STDEV(N110,N159,N174,N274,N350,N416,N478,N561),1)</f>
        <v>0.5</v>
      </c>
      <c r="P927" s="3"/>
      <c r="Q927" s="140"/>
    </row>
    <row r="928" spans="1:17">
      <c r="A928" s="3"/>
      <c r="B928" s="5"/>
      <c r="C928" s="5"/>
      <c r="D928" s="3"/>
      <c r="E928" s="74"/>
      <c r="F928" s="3"/>
      <c r="G928" s="3"/>
      <c r="H928" s="3"/>
      <c r="I928" s="416" t="s">
        <v>2052</v>
      </c>
      <c r="J928" s="371">
        <f>ROUND(AVERAGE(J111,J160,J175,J271,J351),1)</f>
        <v>1.9</v>
      </c>
      <c r="K928" s="371">
        <f>ROUND(STDEV(J111,J160,J175,J271,J351),1)</f>
        <v>1.4</v>
      </c>
      <c r="L928" s="371">
        <f>ROUND(AVERAGE(L111,L160,L175,L271,L351),1)</f>
        <v>92.8</v>
      </c>
      <c r="M928" s="371">
        <f>ROUND(STDEV(L111,L160,L175,L271,L351),1)</f>
        <v>13.8</v>
      </c>
      <c r="N928" s="371">
        <f>ROUND(AVERAGE(N111,N160,N175,N271,N351),1)</f>
        <v>1.3</v>
      </c>
      <c r="O928" s="372">
        <f>ROUND(STDEV(N111,N160,N175,N271,N351),1)</f>
        <v>0.5</v>
      </c>
      <c r="P928" s="3"/>
      <c r="Q928" s="140"/>
    </row>
    <row r="929" spans="1:17">
      <c r="A929" s="3"/>
      <c r="B929" s="5"/>
      <c r="C929" s="5"/>
      <c r="D929" s="3"/>
      <c r="E929" s="74"/>
      <c r="F929" s="3"/>
      <c r="G929" s="3"/>
      <c r="H929" s="3"/>
      <c r="I929" s="416" t="s">
        <v>2053</v>
      </c>
      <c r="J929" s="371">
        <f>ROUND(AVERAGE(J112,J161,J176,J270,J352),1)</f>
        <v>0.4</v>
      </c>
      <c r="K929" s="371">
        <f>ROUND(STDEV(J112,J161,J176,J270,J352),1)</f>
        <v>0.2</v>
      </c>
      <c r="L929" s="371">
        <f>ROUND(AVERAGE(L112,L161,L176,L270,L352),1)</f>
        <v>87.6</v>
      </c>
      <c r="M929" s="371">
        <f>ROUND(STDEV(L112,L161,L176,L270,L352),1)</f>
        <v>22.9</v>
      </c>
      <c r="N929" s="371">
        <f>ROUND(AVERAGE(N112,N161,N176,N270,N352),1)</f>
        <v>0.3</v>
      </c>
      <c r="O929" s="372">
        <f>ROUND(STDEV(N112,N161,N176,N270,N352),1)</f>
        <v>0.1</v>
      </c>
      <c r="P929" s="3"/>
      <c r="Q929" s="140"/>
    </row>
    <row r="930" spans="1:17">
      <c r="A930" s="3"/>
      <c r="B930" s="5"/>
      <c r="C930" s="5"/>
      <c r="D930" s="3"/>
      <c r="E930" s="74"/>
      <c r="F930" s="3"/>
      <c r="G930" s="3"/>
      <c r="H930" s="3"/>
      <c r="I930" s="416" t="s">
        <v>1877</v>
      </c>
      <c r="J930" s="371">
        <f>ROUND(AVERAGE(J113,J162,J177,J273,J353,J477),1)</f>
        <v>2.4</v>
      </c>
      <c r="K930" s="371">
        <f>ROUND(STDEV(J113,J162,J177,J273,J353,J477),1)</f>
        <v>1.5</v>
      </c>
      <c r="L930" s="371">
        <f>ROUND(AVERAGE(L113,L162,L177,L273,L353,L477),1)</f>
        <v>86.7</v>
      </c>
      <c r="M930" s="371">
        <f>ROUND(STDEV(L113,L162,L177,L273,L353,L477),1)</f>
        <v>24.2</v>
      </c>
      <c r="N930" s="371">
        <f>ROUND(AVERAGE(N113,N162,N177,N273,N353,N477),1)</f>
        <v>2.1</v>
      </c>
      <c r="O930" s="372">
        <f>ROUND(STDEV(N113,N162,N177,N273,N353,N477),1)</f>
        <v>1.6</v>
      </c>
      <c r="P930" s="3"/>
      <c r="Q930" s="140"/>
    </row>
    <row r="931" spans="1:17">
      <c r="A931" s="3"/>
      <c r="B931" s="5"/>
      <c r="C931" s="5"/>
      <c r="D931" s="3"/>
      <c r="E931" s="74"/>
      <c r="F931" s="3"/>
      <c r="G931" s="3"/>
      <c r="H931" s="3"/>
      <c r="I931" s="416" t="s">
        <v>1912</v>
      </c>
      <c r="J931" s="371">
        <f>ROUND(AVERAGE(J114,J163,J178,J354),1)</f>
        <v>0.4</v>
      </c>
      <c r="K931" s="371">
        <f>ROUND(STDEV(J114,J163,J178,J354),1)</f>
        <v>0.5</v>
      </c>
      <c r="L931" s="371">
        <f>ROUND(AVERAGE(L114,L163,L178,L354),1)</f>
        <v>91.2</v>
      </c>
      <c r="M931" s="371">
        <f>ROUND(STDEV(L114,L163,L178,L354),1)</f>
        <v>12.4</v>
      </c>
      <c r="N931" s="371">
        <f>ROUND(AVERAGE(N114,N163,N178,N354),1)</f>
        <v>0.3</v>
      </c>
      <c r="O931" s="372">
        <f>ROUND(STDEV(N114,N163,N178,N354),1)</f>
        <v>0.3</v>
      </c>
      <c r="P931" s="3"/>
      <c r="Q931" s="140"/>
    </row>
    <row r="932" spans="1:17">
      <c r="A932" s="3"/>
      <c r="B932" s="5"/>
      <c r="C932" s="5"/>
      <c r="D932" s="3"/>
      <c r="E932" s="74"/>
      <c r="F932" s="3"/>
      <c r="G932" s="3"/>
      <c r="H932" s="3"/>
      <c r="I932" s="416" t="s">
        <v>1913</v>
      </c>
      <c r="J932" s="371">
        <f>ROUND(AVERAGE(J115,J164,J179,J275,J355),1)</f>
        <v>0.4</v>
      </c>
      <c r="K932" s="371">
        <f>ROUND(STDEV(J115,J164,J179,J275,J355),1)</f>
        <v>0.8</v>
      </c>
      <c r="L932" s="371">
        <f>ROUND(AVERAGE(L115,L164,L179,L275,L355),1)</f>
        <v>64</v>
      </c>
      <c r="M932" s="371">
        <f>ROUND(STDEV(L115,L164,L179,L275,L355),1)</f>
        <v>12</v>
      </c>
      <c r="N932" s="371">
        <f>ROUND(AVERAGE(N115,N164,N179,N275,N355),1)</f>
        <v>0.3</v>
      </c>
      <c r="O932" s="372">
        <f>ROUND(STDEV(N115,N164,N179,N275,N355),1)</f>
        <v>0.6</v>
      </c>
      <c r="P932" s="3"/>
      <c r="Q932" s="140"/>
    </row>
    <row r="933" spans="1:17">
      <c r="A933" s="3"/>
      <c r="B933" s="5"/>
      <c r="C933" s="5"/>
      <c r="D933" s="3"/>
      <c r="E933" s="74"/>
      <c r="F933" s="3"/>
      <c r="G933" s="3"/>
      <c r="H933" s="3"/>
      <c r="I933" s="416" t="s">
        <v>1914</v>
      </c>
      <c r="J933" s="371">
        <f>ROUND(AVERAGE(J116,J165,J180,J277,J356,J418),1)</f>
        <v>0.6</v>
      </c>
      <c r="K933" s="371">
        <f>ROUND(STDEV(J116,J165,J180,J277,J356,J418),1)</f>
        <v>0.7</v>
      </c>
      <c r="L933" s="371">
        <f>ROUND(AVERAGE(L116,L165,L180,L277,L356,L418),1)</f>
        <v>64.8</v>
      </c>
      <c r="M933" s="371">
        <f>ROUND(STDEV(L116,L165,L180,L277,L356,L418),1)</f>
        <v>15.9</v>
      </c>
      <c r="N933" s="371">
        <f>ROUND(AVERAGE(N116,N165,N180,N277,N356,N418),1)</f>
        <v>0.4</v>
      </c>
      <c r="O933" s="372">
        <f>ROUND(STDEV(N116,N165,N180,N277,N356,N418),1)</f>
        <v>0.5</v>
      </c>
      <c r="P933" s="3"/>
      <c r="Q933" s="140"/>
    </row>
    <row r="934" spans="1:17">
      <c r="A934" s="3"/>
      <c r="B934" s="5"/>
      <c r="C934" s="5"/>
      <c r="D934" s="3"/>
      <c r="E934" s="74"/>
      <c r="F934" s="3"/>
      <c r="G934" s="3"/>
      <c r="H934" s="3"/>
      <c r="I934" s="416" t="s">
        <v>1916</v>
      </c>
      <c r="J934" s="371">
        <f>ROUND(AVERAGE(J117,J166,J181,J278,J357,J419),1)</f>
        <v>0.9</v>
      </c>
      <c r="K934" s="371">
        <f>ROUND(STDEV(J117,J166,J181,J278,J357,J419),1)</f>
        <v>1</v>
      </c>
      <c r="L934" s="371">
        <f>ROUND(AVERAGE(L117,L166,L181,L278,L357,L419),1)</f>
        <v>39.299999999999997</v>
      </c>
      <c r="M934" s="371">
        <f>ROUND(STDEV(L117,L166,L181,L278,L357,L419),1)</f>
        <v>25.1</v>
      </c>
      <c r="N934" s="371">
        <f>ROUND(AVERAGE(N117,N166,N181,N278,N357,N419),1)</f>
        <v>0.5</v>
      </c>
      <c r="O934" s="372">
        <f>ROUND(STDEV(N117,N166,N181,N278,N357,N419),1)</f>
        <v>0.7</v>
      </c>
      <c r="P934" s="3"/>
      <c r="Q934" s="140"/>
    </row>
    <row r="935" spans="1:17">
      <c r="A935" s="3"/>
      <c r="B935" s="5"/>
      <c r="C935" s="5"/>
      <c r="D935" s="3"/>
      <c r="E935" s="74"/>
      <c r="F935" s="3"/>
      <c r="G935" s="3"/>
      <c r="H935" s="3"/>
      <c r="I935" s="416" t="s">
        <v>1734</v>
      </c>
      <c r="J935" s="371">
        <f>ROUND(AVERAGE(J118+J119,J167+J168,J183,J358,J420),1)</f>
        <v>1</v>
      </c>
      <c r="K935" s="371">
        <f>ROUND(STDEV(J118+J119,J167+J168,J183,J358,J420),1)</f>
        <v>1.1000000000000001</v>
      </c>
      <c r="L935" s="371">
        <f>ROUND(AVERAGE(L118,L119,L167,L168,L183,L358,L420),1)</f>
        <v>20.8</v>
      </c>
      <c r="M935" s="371">
        <f>ROUND(STDEV(L118,L119,L167,L168,L183,L358,L420),1)</f>
        <v>12.4</v>
      </c>
      <c r="N935" s="371">
        <f>ROUND(AVERAGE(N118+N119,N167+N168,N183,N358,N420),1)</f>
        <v>0.3</v>
      </c>
      <c r="O935" s="372">
        <f>ROUND(STDEV(N118+N119,N167+N168,N183,N358,N420),1)</f>
        <v>0.3</v>
      </c>
      <c r="P935" s="3"/>
      <c r="Q935" s="140"/>
    </row>
    <row r="936" spans="1:17" ht="14" thickBot="1">
      <c r="A936" s="3"/>
      <c r="B936" s="5"/>
      <c r="C936" s="5"/>
      <c r="D936" s="3"/>
      <c r="E936" s="74"/>
      <c r="F936" s="3"/>
      <c r="G936" s="3"/>
      <c r="H936" s="3"/>
      <c r="I936" s="388" t="s">
        <v>1915</v>
      </c>
      <c r="J936" s="373">
        <f>ROUND(AVERAGE(J120,J169,J184,J279,J359,J421,J478),1)</f>
        <v>2.1</v>
      </c>
      <c r="K936" s="373">
        <f>ROUND(STDEV(J120,J169,J184,J279,J359,J421,J478),1)</f>
        <v>1.3</v>
      </c>
      <c r="L936" s="373">
        <f>ROUND(AVERAGE(L120,L169,L184,L279,L359,L421,L478),1)</f>
        <v>50.6</v>
      </c>
      <c r="M936" s="373">
        <f>ROUND(STDEV(L120,L169,L184,L279,L359,L421,L478),1)</f>
        <v>27.3</v>
      </c>
      <c r="N936" s="373">
        <f>ROUND(AVERAGE(N120,N169,N184,N279,N359,N421,N478),1)</f>
        <v>1.1000000000000001</v>
      </c>
      <c r="O936" s="374">
        <f>ROUND(STDEV(N120,N169,N184,N279,N359,N421,N478),1)</f>
        <v>0.7</v>
      </c>
      <c r="P936" s="3"/>
      <c r="Q936" s="140"/>
    </row>
    <row r="937" spans="1:17">
      <c r="A937" s="3"/>
      <c r="B937" s="5"/>
      <c r="C937" s="5"/>
      <c r="D937" s="3"/>
      <c r="E937" s="74"/>
      <c r="F937" s="3"/>
      <c r="G937" s="3"/>
      <c r="H937" s="3"/>
      <c r="I937" s="60"/>
      <c r="J937" s="80"/>
      <c r="K937" s="80"/>
      <c r="L937" s="80"/>
      <c r="M937" s="80"/>
      <c r="N937" s="80"/>
      <c r="O937" s="80"/>
      <c r="P937" s="3"/>
      <c r="Q937" s="140"/>
    </row>
  </sheetData>
  <phoneticPr fontId="17" type="noConversion"/>
  <pageMargins left="0.75" right="0.75" top="1" bottom="1" header="0.5" footer="0.5"/>
  <ignoredErrors>
    <ignoredError sqref="K555:M562 K912:N914 M928:M934 M936 L936 K928:K936 L928:L934 K916:M91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24"/>
  <sheetViews>
    <sheetView workbookViewId="0">
      <pane xSplit="9" ySplit="1" topLeftCell="J562" activePane="bottomRight" state="frozen"/>
      <selection pane="topRight" activeCell="J1" sqref="J1"/>
      <selection pane="bottomLeft" activeCell="A2" sqref="A2"/>
      <selection pane="bottomRight" activeCell="A399" sqref="A399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style="4" customWidth="1"/>
    <col min="6" max="6" width="5.85546875" style="4" customWidth="1"/>
    <col min="7" max="7" width="4.7109375" style="4" customWidth="1"/>
    <col min="8" max="8" width="11.5703125" customWidth="1"/>
    <col min="9" max="9" width="48.5703125" style="50" customWidth="1"/>
    <col min="10" max="15" width="10.7109375" style="4"/>
    <col min="16" max="16" width="53.28515625" customWidth="1"/>
  </cols>
  <sheetData>
    <row r="1" spans="1:125" s="7" customFormat="1" ht="32" customHeight="1">
      <c r="A1" s="17" t="s">
        <v>807</v>
      </c>
      <c r="B1" s="17" t="s">
        <v>808</v>
      </c>
      <c r="C1" s="17" t="s">
        <v>809</v>
      </c>
      <c r="D1" s="17" t="s">
        <v>810</v>
      </c>
      <c r="E1" s="419" t="s">
        <v>1064</v>
      </c>
      <c r="F1" s="419" t="s">
        <v>1065</v>
      </c>
      <c r="G1" s="419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2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>
      <c r="A2" s="19" t="s">
        <v>1243</v>
      </c>
      <c r="B2" s="29" t="s">
        <v>1244</v>
      </c>
      <c r="C2" s="29" t="s">
        <v>1245</v>
      </c>
      <c r="D2" s="19" t="s">
        <v>1255</v>
      </c>
      <c r="E2" s="22">
        <v>1990</v>
      </c>
      <c r="F2" s="109">
        <v>9</v>
      </c>
      <c r="G2" s="22" t="s">
        <v>1046</v>
      </c>
      <c r="H2" s="19" t="s">
        <v>1363</v>
      </c>
      <c r="I2" s="19" t="s">
        <v>1364</v>
      </c>
      <c r="J2" s="22">
        <v>1.2</v>
      </c>
      <c r="K2" s="22">
        <v>0.3</v>
      </c>
      <c r="L2" s="22">
        <v>89</v>
      </c>
      <c r="M2" s="22">
        <v>3.6</v>
      </c>
      <c r="N2" s="22">
        <f t="shared" ref="N2:N21" si="0">J2*(L2/100)</f>
        <v>1.0680000000000001</v>
      </c>
      <c r="O2" s="22" t="s">
        <v>253</v>
      </c>
      <c r="P2" s="19" t="s">
        <v>1365</v>
      </c>
      <c r="Q2" s="50"/>
    </row>
    <row r="3" spans="1:125">
      <c r="A3" s="19"/>
      <c r="B3" s="29"/>
      <c r="C3" s="29"/>
      <c r="D3" s="19"/>
      <c r="E3" s="22"/>
      <c r="F3" s="109"/>
      <c r="G3" s="22"/>
      <c r="H3" s="19"/>
      <c r="I3" s="19" t="s">
        <v>762</v>
      </c>
      <c r="J3" s="22">
        <v>11</v>
      </c>
      <c r="K3" s="22">
        <v>1.7</v>
      </c>
      <c r="L3" s="22">
        <v>98.92</v>
      </c>
      <c r="M3" s="22">
        <v>1.1000000000000001</v>
      </c>
      <c r="N3" s="22">
        <f t="shared" si="0"/>
        <v>10.8812</v>
      </c>
      <c r="O3" s="22" t="s">
        <v>253</v>
      </c>
      <c r="P3" s="19" t="s">
        <v>1365</v>
      </c>
      <c r="Q3" s="50"/>
    </row>
    <row r="4" spans="1:125">
      <c r="A4" s="19"/>
      <c r="B4" s="29"/>
      <c r="C4" s="29"/>
      <c r="D4" s="19"/>
      <c r="E4" s="22"/>
      <c r="F4" s="109"/>
      <c r="G4" s="22"/>
      <c r="H4" s="19"/>
      <c r="I4" s="19" t="s">
        <v>1331</v>
      </c>
      <c r="J4" s="22">
        <v>0.2</v>
      </c>
      <c r="K4" s="22">
        <v>0.1</v>
      </c>
      <c r="L4" s="22">
        <v>100</v>
      </c>
      <c r="M4" s="22">
        <v>0</v>
      </c>
      <c r="N4" s="22">
        <f t="shared" si="0"/>
        <v>0.2</v>
      </c>
      <c r="O4" s="22" t="s">
        <v>253</v>
      </c>
      <c r="P4" s="19" t="s">
        <v>1365</v>
      </c>
      <c r="Q4" s="50"/>
    </row>
    <row r="5" spans="1:125">
      <c r="A5" s="19"/>
      <c r="B5" s="29"/>
      <c r="C5" s="29"/>
      <c r="D5" s="19"/>
      <c r="E5" s="22"/>
      <c r="F5" s="109"/>
      <c r="G5" s="22"/>
      <c r="H5" s="19"/>
      <c r="I5" s="19" t="s">
        <v>1251</v>
      </c>
      <c r="J5" s="22">
        <v>2.2999999999999998</v>
      </c>
      <c r="K5" s="22">
        <v>0.5</v>
      </c>
      <c r="L5" s="22">
        <v>88.91</v>
      </c>
      <c r="M5" s="22">
        <v>3.63</v>
      </c>
      <c r="N5" s="22">
        <f t="shared" si="0"/>
        <v>2.0449299999999999</v>
      </c>
      <c r="O5" s="22" t="s">
        <v>253</v>
      </c>
      <c r="P5" s="19" t="s">
        <v>1365</v>
      </c>
      <c r="Q5" s="50"/>
    </row>
    <row r="6" spans="1:125">
      <c r="A6" s="19"/>
      <c r="B6" s="29"/>
      <c r="C6" s="29"/>
      <c r="D6" s="19"/>
      <c r="E6" s="22"/>
      <c r="F6" s="109"/>
      <c r="G6" s="22"/>
      <c r="H6" s="19"/>
      <c r="I6" s="19" t="s">
        <v>1359</v>
      </c>
      <c r="J6" s="22">
        <v>13.6</v>
      </c>
      <c r="K6" s="22">
        <v>2.4</v>
      </c>
      <c r="L6" s="22">
        <v>67.41</v>
      </c>
      <c r="M6" s="22">
        <v>6.58</v>
      </c>
      <c r="N6" s="22">
        <f t="shared" si="0"/>
        <v>9.1677599999999995</v>
      </c>
      <c r="O6" s="22" t="s">
        <v>253</v>
      </c>
      <c r="P6" s="19" t="s">
        <v>1365</v>
      </c>
      <c r="Q6" s="50"/>
    </row>
    <row r="7" spans="1:125">
      <c r="A7" s="19"/>
      <c r="B7" s="29"/>
      <c r="C7" s="29"/>
      <c r="D7" s="19"/>
      <c r="E7" s="22"/>
      <c r="F7" s="109"/>
      <c r="G7" s="22"/>
      <c r="H7" s="19"/>
      <c r="I7" s="19" t="s">
        <v>1361</v>
      </c>
      <c r="J7" s="22">
        <v>13.5</v>
      </c>
      <c r="K7" s="22">
        <v>2.2999999999999998</v>
      </c>
      <c r="L7" s="22">
        <v>27.13</v>
      </c>
      <c r="M7" s="22">
        <v>7.21</v>
      </c>
      <c r="N7" s="22">
        <f t="shared" si="0"/>
        <v>3.66255</v>
      </c>
      <c r="O7" s="22" t="s">
        <v>253</v>
      </c>
      <c r="P7" s="19" t="s">
        <v>1365</v>
      </c>
      <c r="Q7" s="50"/>
    </row>
    <row r="8" spans="1:125">
      <c r="A8" s="19"/>
      <c r="B8" s="29"/>
      <c r="C8" s="29"/>
      <c r="D8" s="19"/>
      <c r="E8" s="22"/>
      <c r="F8" s="109"/>
      <c r="G8" s="22"/>
      <c r="H8" s="19"/>
      <c r="I8" s="19" t="s">
        <v>1362</v>
      </c>
      <c r="J8" s="22">
        <v>52</v>
      </c>
      <c r="K8" s="22">
        <v>9</v>
      </c>
      <c r="L8" s="22">
        <v>28.33</v>
      </c>
      <c r="M8" s="22">
        <v>11.1</v>
      </c>
      <c r="N8" s="22">
        <f t="shared" si="0"/>
        <v>14.7316</v>
      </c>
      <c r="O8" s="22" t="s">
        <v>253</v>
      </c>
      <c r="P8" s="19" t="s">
        <v>1365</v>
      </c>
      <c r="Q8" s="50"/>
    </row>
    <row r="9" spans="1:125">
      <c r="A9" s="19"/>
      <c r="B9" s="29"/>
      <c r="C9" s="29"/>
      <c r="D9" s="19"/>
      <c r="E9" s="22"/>
      <c r="F9" s="109"/>
      <c r="G9" s="22"/>
      <c r="H9" s="19"/>
      <c r="I9" s="19" t="s">
        <v>1254</v>
      </c>
      <c r="J9" s="22">
        <v>27.6</v>
      </c>
      <c r="K9" s="22">
        <v>13.3</v>
      </c>
      <c r="L9" s="22">
        <v>13.97</v>
      </c>
      <c r="M9" s="22">
        <v>5.5</v>
      </c>
      <c r="N9" s="22">
        <f t="shared" si="0"/>
        <v>3.8557200000000007</v>
      </c>
      <c r="O9" s="22" t="s">
        <v>253</v>
      </c>
      <c r="P9" s="19" t="s">
        <v>1365</v>
      </c>
      <c r="Q9" s="50"/>
    </row>
    <row r="10" spans="1:125">
      <c r="A10" s="19"/>
      <c r="B10" s="29"/>
      <c r="C10" s="29"/>
      <c r="D10" s="19"/>
      <c r="E10" s="22"/>
      <c r="F10" s="109"/>
      <c r="G10" s="22"/>
      <c r="H10" s="19"/>
      <c r="I10" s="19" t="s">
        <v>1264</v>
      </c>
      <c r="J10" s="22">
        <v>109</v>
      </c>
      <c r="K10" s="22">
        <v>16.899999999999999</v>
      </c>
      <c r="L10" s="22">
        <v>36.869999999999997</v>
      </c>
      <c r="M10" s="22">
        <v>2.4500000000000002</v>
      </c>
      <c r="N10" s="22">
        <f t="shared" si="0"/>
        <v>40.188299999999998</v>
      </c>
      <c r="O10" s="22" t="s">
        <v>253</v>
      </c>
      <c r="P10" s="19" t="s">
        <v>1365</v>
      </c>
      <c r="Q10" s="50"/>
    </row>
    <row r="11" spans="1:125">
      <c r="A11" s="19"/>
      <c r="B11" s="29"/>
      <c r="C11" s="29"/>
      <c r="D11" s="19"/>
      <c r="E11" s="22"/>
      <c r="F11" s="109"/>
      <c r="G11" s="22"/>
      <c r="H11" s="19"/>
      <c r="I11" s="19" t="s">
        <v>485</v>
      </c>
      <c r="J11" s="22">
        <v>121.4</v>
      </c>
      <c r="K11" s="22">
        <v>16.8</v>
      </c>
      <c r="L11" s="22">
        <v>42.87</v>
      </c>
      <c r="M11" s="22">
        <v>2.93</v>
      </c>
      <c r="N11" s="22">
        <f t="shared" si="0"/>
        <v>52.044179999999997</v>
      </c>
      <c r="O11" s="22"/>
      <c r="P11" s="19" t="s">
        <v>1365</v>
      </c>
      <c r="Q11" s="50"/>
    </row>
    <row r="12" spans="1:125">
      <c r="A12" s="19" t="s">
        <v>1284</v>
      </c>
      <c r="B12" s="29" t="s">
        <v>1244</v>
      </c>
      <c r="C12" s="29" t="s">
        <v>1245</v>
      </c>
      <c r="D12" s="19" t="s">
        <v>1072</v>
      </c>
      <c r="E12" s="22">
        <v>1990</v>
      </c>
      <c r="F12" s="109">
        <v>9</v>
      </c>
      <c r="G12" s="22" t="s">
        <v>1046</v>
      </c>
      <c r="H12" s="19" t="s">
        <v>1363</v>
      </c>
      <c r="I12" s="19" t="s">
        <v>1073</v>
      </c>
      <c r="J12" s="22">
        <v>2.8</v>
      </c>
      <c r="K12" s="22">
        <v>0.3</v>
      </c>
      <c r="L12" s="22">
        <v>78.34</v>
      </c>
      <c r="M12" s="22">
        <v>16.59</v>
      </c>
      <c r="N12" s="22">
        <f t="shared" si="0"/>
        <v>2.1935199999999999</v>
      </c>
      <c r="O12" s="22" t="s">
        <v>253</v>
      </c>
      <c r="P12" s="19" t="s">
        <v>1466</v>
      </c>
      <c r="Q12" s="50"/>
    </row>
    <row r="13" spans="1:125">
      <c r="A13" s="19"/>
      <c r="B13" s="29"/>
      <c r="C13" s="29"/>
      <c r="D13" s="19"/>
      <c r="E13" s="22"/>
      <c r="F13" s="109"/>
      <c r="G13" s="22"/>
      <c r="H13" s="19"/>
      <c r="I13" s="19" t="s">
        <v>544</v>
      </c>
      <c r="J13" s="22">
        <v>11.8</v>
      </c>
      <c r="K13" s="22">
        <v>1.6</v>
      </c>
      <c r="L13" s="22">
        <v>100</v>
      </c>
      <c r="M13" s="22">
        <v>0</v>
      </c>
      <c r="N13" s="22">
        <f t="shared" si="0"/>
        <v>11.8</v>
      </c>
      <c r="O13" s="22" t="s">
        <v>253</v>
      </c>
      <c r="P13" s="19" t="s">
        <v>1466</v>
      </c>
      <c r="Q13" s="50"/>
    </row>
    <row r="14" spans="1:125">
      <c r="A14" s="19"/>
      <c r="B14" s="29"/>
      <c r="C14" s="29"/>
      <c r="D14" s="19"/>
      <c r="E14" s="22"/>
      <c r="F14" s="109"/>
      <c r="G14" s="22"/>
      <c r="H14" s="19"/>
      <c r="I14" s="19" t="s">
        <v>1282</v>
      </c>
      <c r="J14" s="22">
        <v>1.1000000000000001</v>
      </c>
      <c r="K14" s="22">
        <v>0.4</v>
      </c>
      <c r="L14" s="22">
        <v>100</v>
      </c>
      <c r="M14" s="22">
        <v>0</v>
      </c>
      <c r="N14" s="22">
        <f t="shared" si="0"/>
        <v>1.1000000000000001</v>
      </c>
      <c r="O14" s="22" t="s">
        <v>253</v>
      </c>
      <c r="P14" s="19" t="s">
        <v>1466</v>
      </c>
      <c r="Q14" s="50"/>
    </row>
    <row r="15" spans="1:125">
      <c r="A15" s="19"/>
      <c r="B15" s="29"/>
      <c r="C15" s="29"/>
      <c r="D15" s="19"/>
      <c r="E15" s="22"/>
      <c r="F15" s="109"/>
      <c r="G15" s="22"/>
      <c r="H15" s="19"/>
      <c r="I15" s="19" t="s">
        <v>1251</v>
      </c>
      <c r="J15" s="22">
        <v>3.5</v>
      </c>
      <c r="K15" s="22">
        <v>0.4</v>
      </c>
      <c r="L15" s="22">
        <v>78.34</v>
      </c>
      <c r="M15" s="22">
        <v>16.59</v>
      </c>
      <c r="N15" s="22">
        <f t="shared" si="0"/>
        <v>2.7418999999999998</v>
      </c>
      <c r="O15" s="22" t="s">
        <v>253</v>
      </c>
      <c r="P15" s="19" t="s">
        <v>1466</v>
      </c>
      <c r="Q15" s="50"/>
    </row>
    <row r="16" spans="1:125">
      <c r="A16" s="19"/>
      <c r="B16" s="29"/>
      <c r="C16" s="29"/>
      <c r="D16" s="19"/>
      <c r="E16" s="22"/>
      <c r="F16" s="109"/>
      <c r="G16" s="22"/>
      <c r="H16" s="19"/>
      <c r="I16" s="19" t="s">
        <v>1359</v>
      </c>
      <c r="J16" s="22">
        <v>18.8</v>
      </c>
      <c r="K16" s="22">
        <v>2</v>
      </c>
      <c r="L16" s="22">
        <v>77.56</v>
      </c>
      <c r="M16" s="22">
        <v>4.97</v>
      </c>
      <c r="N16" s="22">
        <f t="shared" si="0"/>
        <v>14.581280000000001</v>
      </c>
      <c r="O16" s="22" t="s">
        <v>253</v>
      </c>
      <c r="P16" s="19" t="s">
        <v>1466</v>
      </c>
      <c r="Q16" s="50"/>
    </row>
    <row r="17" spans="1:17">
      <c r="A17" s="19"/>
      <c r="B17" s="29"/>
      <c r="C17" s="29"/>
      <c r="D17" s="19"/>
      <c r="E17" s="22"/>
      <c r="F17" s="109"/>
      <c r="G17" s="22"/>
      <c r="H17" s="19"/>
      <c r="I17" s="19" t="s">
        <v>1361</v>
      </c>
      <c r="J17" s="22">
        <v>31.6</v>
      </c>
      <c r="K17" s="22">
        <v>3.1</v>
      </c>
      <c r="L17" s="22">
        <v>55.31</v>
      </c>
      <c r="M17" s="22">
        <v>8.84</v>
      </c>
      <c r="N17" s="22">
        <f t="shared" si="0"/>
        <v>17.477960000000003</v>
      </c>
      <c r="O17" s="22" t="s">
        <v>253</v>
      </c>
      <c r="P17" s="19" t="s">
        <v>1466</v>
      </c>
      <c r="Q17" s="50"/>
    </row>
    <row r="18" spans="1:17">
      <c r="A18" s="19"/>
      <c r="B18" s="29"/>
      <c r="C18" s="29"/>
      <c r="D18" s="19"/>
      <c r="E18" s="22"/>
      <c r="F18" s="109"/>
      <c r="G18" s="22"/>
      <c r="H18" s="19"/>
      <c r="I18" s="19" t="s">
        <v>1362</v>
      </c>
      <c r="J18" s="22">
        <v>67.8</v>
      </c>
      <c r="K18" s="22">
        <v>6.4</v>
      </c>
      <c r="L18" s="22">
        <v>25.3</v>
      </c>
      <c r="M18" s="22">
        <v>5.83</v>
      </c>
      <c r="N18" s="22">
        <f t="shared" si="0"/>
        <v>17.153399999999998</v>
      </c>
      <c r="O18" s="22" t="s">
        <v>253</v>
      </c>
      <c r="P18" s="19" t="s">
        <v>1466</v>
      </c>
      <c r="Q18" s="50"/>
    </row>
    <row r="19" spans="1:17">
      <c r="A19" s="19"/>
      <c r="B19" s="29"/>
      <c r="C19" s="29"/>
      <c r="D19" s="19"/>
      <c r="E19" s="22"/>
      <c r="F19" s="109"/>
      <c r="G19" s="22"/>
      <c r="H19" s="19"/>
      <c r="I19" s="19" t="s">
        <v>1254</v>
      </c>
      <c r="J19" s="22">
        <v>155</v>
      </c>
      <c r="K19" s="22">
        <v>34.5</v>
      </c>
      <c r="L19" s="22">
        <v>44.43</v>
      </c>
      <c r="M19" s="22">
        <v>10.76</v>
      </c>
      <c r="N19" s="22">
        <f t="shared" si="0"/>
        <v>68.866500000000002</v>
      </c>
      <c r="O19" s="22" t="s">
        <v>253</v>
      </c>
      <c r="P19" s="19" t="s">
        <v>1466</v>
      </c>
      <c r="Q19" s="50"/>
    </row>
    <row r="20" spans="1:17">
      <c r="A20" s="19"/>
      <c r="B20" s="29"/>
      <c r="C20" s="29"/>
      <c r="D20" s="19"/>
      <c r="E20" s="22"/>
      <c r="F20" s="109"/>
      <c r="G20" s="22"/>
      <c r="H20" s="19"/>
      <c r="I20" s="19" t="s">
        <v>1264</v>
      </c>
      <c r="J20" s="22">
        <v>276.7</v>
      </c>
      <c r="K20" s="22">
        <v>36.200000000000003</v>
      </c>
      <c r="L20" s="22">
        <v>49.47</v>
      </c>
      <c r="M20" s="22">
        <v>3.87</v>
      </c>
      <c r="N20" s="22">
        <f t="shared" si="0"/>
        <v>136.88348999999999</v>
      </c>
      <c r="O20" s="22" t="s">
        <v>253</v>
      </c>
      <c r="P20" s="19" t="s">
        <v>1466</v>
      </c>
      <c r="Q20" s="50"/>
    </row>
    <row r="21" spans="1:17" ht="14" thickBot="1">
      <c r="A21" s="19"/>
      <c r="B21" s="29"/>
      <c r="C21" s="29"/>
      <c r="D21" s="19"/>
      <c r="E21" s="22"/>
      <c r="F21" s="109"/>
      <c r="G21" s="22"/>
      <c r="H21" s="19"/>
      <c r="I21" s="38" t="s">
        <v>485</v>
      </c>
      <c r="J21" s="45">
        <v>292.39999999999998</v>
      </c>
      <c r="K21" s="45">
        <v>35.799999999999997</v>
      </c>
      <c r="L21" s="45">
        <v>52.56</v>
      </c>
      <c r="M21" s="45">
        <v>3.61</v>
      </c>
      <c r="N21" s="45">
        <f t="shared" si="0"/>
        <v>153.68544</v>
      </c>
      <c r="O21" s="45"/>
      <c r="P21" s="19" t="s">
        <v>1466</v>
      </c>
      <c r="Q21" s="50"/>
    </row>
    <row r="22" spans="1:17" ht="15">
      <c r="A22" s="3"/>
      <c r="B22" s="5"/>
      <c r="C22" s="5"/>
      <c r="D22" s="3"/>
      <c r="E22" s="74"/>
      <c r="F22" s="114"/>
      <c r="G22" s="74"/>
      <c r="H22" s="3"/>
      <c r="I22" s="47" t="s">
        <v>1073</v>
      </c>
      <c r="J22" s="51">
        <f t="shared" ref="J22:J31" si="1">ROUND(AVERAGE(J2,J12),1)</f>
        <v>2</v>
      </c>
      <c r="K22" s="51" t="s">
        <v>253</v>
      </c>
      <c r="L22" s="51">
        <f t="shared" ref="L22:L31" si="2">ROUND(AVERAGE(L2,L12),1)</f>
        <v>83.7</v>
      </c>
      <c r="M22" s="51" t="s">
        <v>986</v>
      </c>
      <c r="N22" s="51">
        <f t="shared" ref="N22:N31" si="3">ROUND(AVERAGE(N2,N12),1)</f>
        <v>1.6</v>
      </c>
      <c r="O22" s="52" t="s">
        <v>986</v>
      </c>
      <c r="P22" s="3"/>
      <c r="Q22" s="50"/>
    </row>
    <row r="23" spans="1:17" ht="15">
      <c r="A23" s="35"/>
      <c r="B23" s="5"/>
      <c r="C23" s="5"/>
      <c r="D23" s="3"/>
      <c r="E23" s="74"/>
      <c r="F23" s="114"/>
      <c r="G23" s="74"/>
      <c r="H23" s="3"/>
      <c r="I23" s="48" t="s">
        <v>544</v>
      </c>
      <c r="J23" s="53">
        <f t="shared" si="1"/>
        <v>11.4</v>
      </c>
      <c r="K23" s="53" t="s">
        <v>253</v>
      </c>
      <c r="L23" s="53">
        <f t="shared" si="2"/>
        <v>99.5</v>
      </c>
      <c r="M23" s="53" t="s">
        <v>986</v>
      </c>
      <c r="N23" s="53">
        <f t="shared" si="3"/>
        <v>11.3</v>
      </c>
      <c r="O23" s="54" t="s">
        <v>986</v>
      </c>
      <c r="P23" s="3"/>
      <c r="Q23" s="140"/>
    </row>
    <row r="24" spans="1:17" ht="15">
      <c r="A24" s="35"/>
      <c r="B24" s="5"/>
      <c r="C24" s="5"/>
      <c r="D24" s="3"/>
      <c r="E24" s="74"/>
      <c r="F24" s="114"/>
      <c r="G24" s="74"/>
      <c r="H24" s="3"/>
      <c r="I24" s="48" t="s">
        <v>1282</v>
      </c>
      <c r="J24" s="53">
        <f t="shared" si="1"/>
        <v>0.7</v>
      </c>
      <c r="K24" s="53" t="s">
        <v>253</v>
      </c>
      <c r="L24" s="53">
        <f t="shared" si="2"/>
        <v>100</v>
      </c>
      <c r="M24" s="53" t="s">
        <v>986</v>
      </c>
      <c r="N24" s="53">
        <f t="shared" si="3"/>
        <v>0.7</v>
      </c>
      <c r="O24" s="54" t="s">
        <v>986</v>
      </c>
      <c r="P24" s="3"/>
      <c r="Q24" s="140"/>
    </row>
    <row r="25" spans="1:17" ht="15">
      <c r="A25" s="35"/>
      <c r="B25" s="5"/>
      <c r="C25" s="5"/>
      <c r="D25" s="3"/>
      <c r="E25" s="74"/>
      <c r="F25" s="114"/>
      <c r="G25" s="74"/>
      <c r="H25" s="3"/>
      <c r="I25" s="48" t="s">
        <v>1251</v>
      </c>
      <c r="J25" s="53">
        <f t="shared" si="1"/>
        <v>2.9</v>
      </c>
      <c r="K25" s="53" t="s">
        <v>253</v>
      </c>
      <c r="L25" s="53">
        <f t="shared" si="2"/>
        <v>83.6</v>
      </c>
      <c r="M25" s="53" t="s">
        <v>986</v>
      </c>
      <c r="N25" s="53">
        <f t="shared" si="3"/>
        <v>2.4</v>
      </c>
      <c r="O25" s="54" t="s">
        <v>986</v>
      </c>
      <c r="P25" s="3"/>
      <c r="Q25" s="140"/>
    </row>
    <row r="26" spans="1:17" ht="15">
      <c r="A26" s="35"/>
      <c r="B26" s="5"/>
      <c r="C26" s="5"/>
      <c r="D26" s="3"/>
      <c r="E26" s="74"/>
      <c r="F26" s="114"/>
      <c r="G26" s="74"/>
      <c r="H26" s="3"/>
      <c r="I26" s="48" t="s">
        <v>1359</v>
      </c>
      <c r="J26" s="53">
        <f t="shared" si="1"/>
        <v>16.2</v>
      </c>
      <c r="K26" s="53" t="s">
        <v>253</v>
      </c>
      <c r="L26" s="53">
        <f t="shared" si="2"/>
        <v>72.5</v>
      </c>
      <c r="M26" s="53" t="s">
        <v>986</v>
      </c>
      <c r="N26" s="53">
        <f t="shared" si="3"/>
        <v>11.9</v>
      </c>
      <c r="O26" s="54" t="s">
        <v>986</v>
      </c>
      <c r="P26" s="3"/>
      <c r="Q26" s="140"/>
    </row>
    <row r="27" spans="1:17" ht="15">
      <c r="A27" s="35"/>
      <c r="B27" s="5"/>
      <c r="C27" s="5"/>
      <c r="D27" s="3"/>
      <c r="E27" s="74"/>
      <c r="F27" s="114"/>
      <c r="G27" s="74"/>
      <c r="H27" s="3"/>
      <c r="I27" s="48" t="s">
        <v>1361</v>
      </c>
      <c r="J27" s="53">
        <f t="shared" si="1"/>
        <v>22.6</v>
      </c>
      <c r="K27" s="53" t="s">
        <v>253</v>
      </c>
      <c r="L27" s="53">
        <f t="shared" si="2"/>
        <v>41.2</v>
      </c>
      <c r="M27" s="53" t="s">
        <v>986</v>
      </c>
      <c r="N27" s="53">
        <f t="shared" si="3"/>
        <v>10.6</v>
      </c>
      <c r="O27" s="54" t="s">
        <v>986</v>
      </c>
      <c r="P27" s="3"/>
      <c r="Q27" s="140"/>
    </row>
    <row r="28" spans="1:17" ht="15">
      <c r="A28" s="35"/>
      <c r="B28" s="5"/>
      <c r="C28" s="5"/>
      <c r="D28" s="3"/>
      <c r="E28" s="74"/>
      <c r="F28" s="114"/>
      <c r="G28" s="74"/>
      <c r="H28" s="3"/>
      <c r="I28" s="48" t="s">
        <v>1362</v>
      </c>
      <c r="J28" s="53">
        <f t="shared" si="1"/>
        <v>59.9</v>
      </c>
      <c r="K28" s="53" t="s">
        <v>253</v>
      </c>
      <c r="L28" s="53">
        <f t="shared" si="2"/>
        <v>26.8</v>
      </c>
      <c r="M28" s="53" t="s">
        <v>986</v>
      </c>
      <c r="N28" s="53">
        <f t="shared" si="3"/>
        <v>15.9</v>
      </c>
      <c r="O28" s="54" t="s">
        <v>986</v>
      </c>
      <c r="P28" s="3"/>
      <c r="Q28" s="140"/>
    </row>
    <row r="29" spans="1:17" ht="15">
      <c r="A29" s="35"/>
      <c r="B29" s="5"/>
      <c r="C29" s="5"/>
      <c r="D29" s="3"/>
      <c r="E29" s="74"/>
      <c r="F29" s="114"/>
      <c r="G29" s="74"/>
      <c r="H29" s="3"/>
      <c r="I29" s="48" t="s">
        <v>1254</v>
      </c>
      <c r="J29" s="53">
        <f t="shared" si="1"/>
        <v>91.3</v>
      </c>
      <c r="K29" s="53" t="s">
        <v>253</v>
      </c>
      <c r="L29" s="53">
        <f t="shared" si="2"/>
        <v>29.2</v>
      </c>
      <c r="M29" s="53" t="s">
        <v>986</v>
      </c>
      <c r="N29" s="53">
        <f t="shared" si="3"/>
        <v>36.4</v>
      </c>
      <c r="O29" s="54" t="s">
        <v>986</v>
      </c>
      <c r="P29" s="3"/>
      <c r="Q29" s="140"/>
    </row>
    <row r="30" spans="1:17" ht="15">
      <c r="A30" s="35"/>
      <c r="B30" s="5"/>
      <c r="C30" s="5"/>
      <c r="D30" s="3"/>
      <c r="E30" s="74"/>
      <c r="F30" s="114"/>
      <c r="G30" s="74"/>
      <c r="H30" s="3"/>
      <c r="I30" s="48" t="s">
        <v>1264</v>
      </c>
      <c r="J30" s="53">
        <f t="shared" si="1"/>
        <v>192.9</v>
      </c>
      <c r="K30" s="53" t="s">
        <v>253</v>
      </c>
      <c r="L30" s="53">
        <f t="shared" si="2"/>
        <v>43.2</v>
      </c>
      <c r="M30" s="53" t="s">
        <v>986</v>
      </c>
      <c r="N30" s="53">
        <f t="shared" si="3"/>
        <v>88.5</v>
      </c>
      <c r="O30" s="54" t="s">
        <v>986</v>
      </c>
      <c r="P30" s="3"/>
      <c r="Q30" s="140"/>
    </row>
    <row r="31" spans="1:17" ht="16" thickBot="1">
      <c r="A31" s="35"/>
      <c r="B31" s="5"/>
      <c r="C31" s="5"/>
      <c r="D31" s="3"/>
      <c r="E31" s="74"/>
      <c r="F31" s="114"/>
      <c r="G31" s="74"/>
      <c r="H31" s="3"/>
      <c r="I31" s="49" t="s">
        <v>485</v>
      </c>
      <c r="J31" s="55">
        <f t="shared" si="1"/>
        <v>206.9</v>
      </c>
      <c r="K31" s="55" t="s">
        <v>253</v>
      </c>
      <c r="L31" s="55">
        <f t="shared" si="2"/>
        <v>47.7</v>
      </c>
      <c r="M31" s="55" t="s">
        <v>986</v>
      </c>
      <c r="N31" s="55">
        <f t="shared" si="3"/>
        <v>102.9</v>
      </c>
      <c r="O31" s="56" t="s">
        <v>986</v>
      </c>
      <c r="P31" s="3"/>
      <c r="Q31" s="140"/>
    </row>
    <row r="32" spans="1:17" s="58" customFormat="1">
      <c r="A32" s="35"/>
      <c r="B32" s="5"/>
      <c r="C32" s="5"/>
      <c r="D32" s="3"/>
      <c r="E32" s="74"/>
      <c r="F32" s="114"/>
      <c r="G32" s="74"/>
      <c r="H32" s="3"/>
      <c r="I32" s="3"/>
      <c r="J32" s="74"/>
      <c r="K32" s="74"/>
      <c r="L32" s="74"/>
      <c r="M32" s="74"/>
      <c r="N32" s="74"/>
      <c r="O32" s="74"/>
      <c r="P32" s="3"/>
      <c r="Q32" s="3"/>
    </row>
    <row r="33" spans="1:17" s="58" customFormat="1">
      <c r="A33" s="289"/>
      <c r="B33" s="297"/>
      <c r="C33" s="297"/>
      <c r="D33" s="293"/>
      <c r="E33" s="292"/>
      <c r="F33" s="302"/>
      <c r="G33" s="292"/>
      <c r="H33" s="293"/>
      <c r="I33" s="293"/>
      <c r="J33" s="292"/>
      <c r="K33" s="292"/>
      <c r="L33" s="292"/>
      <c r="M33" s="292"/>
      <c r="N33" s="292"/>
      <c r="O33" s="292"/>
      <c r="P33" s="293"/>
      <c r="Q33" s="3"/>
    </row>
    <row r="34" spans="1:17" s="58" customFormat="1" ht="14" thickBot="1">
      <c r="A34" s="35"/>
      <c r="B34" s="5"/>
      <c r="C34" s="5"/>
      <c r="D34" s="3"/>
      <c r="E34" s="74"/>
      <c r="F34" s="114"/>
      <c r="G34" s="74"/>
      <c r="H34" s="3"/>
      <c r="I34" s="3"/>
      <c r="J34" s="74"/>
      <c r="K34" s="74"/>
      <c r="L34" s="74"/>
      <c r="M34" s="74"/>
      <c r="N34" s="74"/>
      <c r="O34" s="74"/>
      <c r="P34" s="3"/>
      <c r="Q34" s="3"/>
    </row>
    <row r="35" spans="1:17" ht="15">
      <c r="A35" s="19" t="s">
        <v>1196</v>
      </c>
      <c r="B35" s="29" t="s">
        <v>1380</v>
      </c>
      <c r="C35" s="29" t="s">
        <v>1369</v>
      </c>
      <c r="D35" s="19" t="s">
        <v>1241</v>
      </c>
      <c r="E35" s="22">
        <v>1984</v>
      </c>
      <c r="F35" s="22">
        <v>10</v>
      </c>
      <c r="G35" s="22">
        <v>23</v>
      </c>
      <c r="H35" s="27" t="s">
        <v>1363</v>
      </c>
      <c r="I35" s="47" t="s">
        <v>1242</v>
      </c>
      <c r="J35" s="51">
        <v>201.3</v>
      </c>
      <c r="K35" s="51" t="s">
        <v>986</v>
      </c>
      <c r="L35" s="51">
        <f>ROUND((N35/J35)*100,1)</f>
        <v>20.9</v>
      </c>
      <c r="M35" s="51" t="s">
        <v>1046</v>
      </c>
      <c r="N35" s="51">
        <f>J35-159.2</f>
        <v>42.100000000000023</v>
      </c>
      <c r="O35" s="52" t="s">
        <v>1046</v>
      </c>
      <c r="P35" s="30" t="s">
        <v>1431</v>
      </c>
      <c r="Q35" s="50"/>
    </row>
    <row r="36" spans="1:17" ht="15">
      <c r="A36" s="19"/>
      <c r="B36" s="29"/>
      <c r="C36" s="29"/>
      <c r="D36" s="19"/>
      <c r="E36" s="22"/>
      <c r="F36" s="22"/>
      <c r="G36" s="22"/>
      <c r="H36" s="27"/>
      <c r="I36" s="48" t="s">
        <v>1432</v>
      </c>
      <c r="J36" s="53">
        <v>41.8</v>
      </c>
      <c r="K36" s="53" t="s">
        <v>253</v>
      </c>
      <c r="L36" s="53">
        <f>ROUND((N36/J36)*100,1)</f>
        <v>49.3</v>
      </c>
      <c r="M36" s="53"/>
      <c r="N36" s="53">
        <f>J36-21.2</f>
        <v>20.599999999999998</v>
      </c>
      <c r="O36" s="54" t="s">
        <v>253</v>
      </c>
      <c r="P36" s="30" t="s">
        <v>1431</v>
      </c>
      <c r="Q36" s="50"/>
    </row>
    <row r="37" spans="1:17" ht="15">
      <c r="A37" s="19"/>
      <c r="B37" s="29"/>
      <c r="C37" s="29"/>
      <c r="D37" s="19"/>
      <c r="E37" s="22"/>
      <c r="F37" s="22"/>
      <c r="G37" s="22"/>
      <c r="H37" s="27"/>
      <c r="I37" s="48" t="s">
        <v>1633</v>
      </c>
      <c r="J37" s="53">
        <v>8.1</v>
      </c>
      <c r="K37" s="53" t="s">
        <v>253</v>
      </c>
      <c r="L37" s="53">
        <f>ROUND((N37/J37)*100,1)</f>
        <v>75.3</v>
      </c>
      <c r="M37" s="53"/>
      <c r="N37" s="53">
        <f>J37-2</f>
        <v>6.1</v>
      </c>
      <c r="O37" s="54" t="s">
        <v>1634</v>
      </c>
      <c r="P37" s="30" t="s">
        <v>1431</v>
      </c>
      <c r="Q37" s="50"/>
    </row>
    <row r="38" spans="1:17" ht="15">
      <c r="A38" s="19"/>
      <c r="B38" s="29"/>
      <c r="C38" s="29"/>
      <c r="D38" s="19"/>
      <c r="E38" s="22"/>
      <c r="F38" s="22"/>
      <c r="G38" s="22"/>
      <c r="H38" s="27"/>
      <c r="I38" s="48" t="s">
        <v>1635</v>
      </c>
      <c r="J38" s="53">
        <v>13.4</v>
      </c>
      <c r="K38" s="53" t="s">
        <v>1634</v>
      </c>
      <c r="L38" s="53">
        <f>ROUND((N38/J38)*100,1)</f>
        <v>100</v>
      </c>
      <c r="M38" s="53"/>
      <c r="N38" s="53">
        <f>J38-0</f>
        <v>13.4</v>
      </c>
      <c r="O38" s="54" t="s">
        <v>253</v>
      </c>
      <c r="P38" s="30" t="s">
        <v>1431</v>
      </c>
      <c r="Q38" s="50"/>
    </row>
    <row r="39" spans="1:17" ht="16" thickBot="1">
      <c r="A39" s="19"/>
      <c r="B39" s="29"/>
      <c r="C39" s="29"/>
      <c r="D39" s="19"/>
      <c r="E39" s="22"/>
      <c r="F39" s="22"/>
      <c r="G39" s="22"/>
      <c r="H39" s="27"/>
      <c r="I39" s="49" t="s">
        <v>485</v>
      </c>
      <c r="J39" s="55">
        <v>264.60000000000002</v>
      </c>
      <c r="K39" s="55" t="s">
        <v>253</v>
      </c>
      <c r="L39" s="55">
        <f>ROUND((N39/J39)*100,1)</f>
        <v>29.3</v>
      </c>
      <c r="M39" s="55"/>
      <c r="N39" s="55">
        <f>J39-187.2</f>
        <v>77.400000000000034</v>
      </c>
      <c r="O39" s="56" t="s">
        <v>253</v>
      </c>
      <c r="P39" s="30" t="s">
        <v>1431</v>
      </c>
      <c r="Q39" s="50"/>
    </row>
    <row r="40" spans="1:17" s="58" customFormat="1">
      <c r="A40" s="35"/>
      <c r="B40" s="5"/>
      <c r="C40" s="5"/>
      <c r="D40" s="3"/>
      <c r="E40" s="74"/>
      <c r="F40" s="74"/>
      <c r="G40" s="74"/>
      <c r="H40" s="3"/>
      <c r="I40" s="3"/>
      <c r="J40" s="74"/>
      <c r="K40" s="74"/>
      <c r="L40" s="74"/>
      <c r="M40" s="74"/>
      <c r="N40" s="74"/>
      <c r="O40" s="74"/>
      <c r="P40" s="3"/>
      <c r="Q40" s="3"/>
    </row>
    <row r="41" spans="1:17" s="58" customFormat="1" ht="15">
      <c r="A41" s="293"/>
      <c r="B41" s="297"/>
      <c r="C41" s="297"/>
      <c r="D41" s="293"/>
      <c r="E41" s="292"/>
      <c r="F41" s="292"/>
      <c r="G41" s="292"/>
      <c r="H41" s="293"/>
      <c r="I41" s="294"/>
      <c r="J41" s="295"/>
      <c r="K41" s="295"/>
      <c r="L41" s="295"/>
      <c r="M41" s="295"/>
      <c r="N41" s="295"/>
      <c r="O41" s="295"/>
      <c r="P41" s="293"/>
      <c r="Q41" s="3"/>
    </row>
    <row r="42" spans="1:17" s="58" customFormat="1" ht="15">
      <c r="A42" s="3"/>
      <c r="B42" s="5"/>
      <c r="C42" s="5"/>
      <c r="D42" s="3"/>
      <c r="E42" s="74"/>
      <c r="F42" s="74"/>
      <c r="G42" s="74"/>
      <c r="H42" s="3"/>
      <c r="I42" s="59"/>
      <c r="J42" s="144"/>
      <c r="K42" s="144"/>
      <c r="L42" s="144"/>
      <c r="M42" s="144"/>
      <c r="N42" s="144"/>
      <c r="O42" s="144"/>
      <c r="P42" s="3"/>
      <c r="Q42" s="3"/>
    </row>
    <row r="43" spans="1:17">
      <c r="A43" s="19" t="s">
        <v>1322</v>
      </c>
      <c r="B43" s="29" t="s">
        <v>1323</v>
      </c>
      <c r="C43" s="29" t="s">
        <v>1228</v>
      </c>
      <c r="D43" s="29" t="s">
        <v>1229</v>
      </c>
      <c r="E43" s="22">
        <v>1989</v>
      </c>
      <c r="F43" s="22">
        <v>9</v>
      </c>
      <c r="G43" s="22">
        <v>19</v>
      </c>
      <c r="H43" s="19" t="s">
        <v>1363</v>
      </c>
      <c r="I43" s="19" t="s">
        <v>762</v>
      </c>
      <c r="J43" s="22">
        <v>4</v>
      </c>
      <c r="K43" s="22">
        <v>0.59</v>
      </c>
      <c r="L43" s="22">
        <v>94.95</v>
      </c>
      <c r="M43" s="22">
        <v>3.05</v>
      </c>
      <c r="N43" s="22">
        <f t="shared" ref="N43:N57" si="4">J43*(L43/100)</f>
        <v>3.798</v>
      </c>
      <c r="O43" s="22" t="s">
        <v>986</v>
      </c>
      <c r="P43" s="19" t="s">
        <v>900</v>
      </c>
      <c r="Q43" s="50"/>
    </row>
    <row r="44" spans="1:17">
      <c r="A44" s="19"/>
      <c r="B44" s="29"/>
      <c r="C44" s="29"/>
      <c r="D44" s="29"/>
      <c r="E44" s="22"/>
      <c r="F44" s="22"/>
      <c r="G44" s="22"/>
      <c r="H44" s="19"/>
      <c r="I44" s="19" t="s">
        <v>924</v>
      </c>
      <c r="J44" s="22">
        <v>6.15</v>
      </c>
      <c r="K44" s="22">
        <v>0.44</v>
      </c>
      <c r="L44" s="22">
        <v>85</v>
      </c>
      <c r="M44" s="22">
        <v>4.76</v>
      </c>
      <c r="N44" s="22">
        <f t="shared" si="4"/>
        <v>5.2275</v>
      </c>
      <c r="O44" s="22" t="s">
        <v>986</v>
      </c>
      <c r="P44" s="19" t="s">
        <v>900</v>
      </c>
      <c r="Q44" s="50"/>
    </row>
    <row r="45" spans="1:17">
      <c r="A45" s="19"/>
      <c r="B45" s="29"/>
      <c r="C45" s="29"/>
      <c r="D45" s="29"/>
      <c r="E45" s="22"/>
      <c r="F45" s="22"/>
      <c r="G45" s="22"/>
      <c r="H45" s="19"/>
      <c r="I45" s="19" t="s">
        <v>901</v>
      </c>
      <c r="J45" s="22">
        <v>10.16</v>
      </c>
      <c r="K45" s="22">
        <v>0.73</v>
      </c>
      <c r="L45" s="22">
        <v>85</v>
      </c>
      <c r="M45" s="22">
        <v>4.76</v>
      </c>
      <c r="N45" s="22">
        <f t="shared" si="4"/>
        <v>8.6359999999999992</v>
      </c>
      <c r="O45" s="22" t="s">
        <v>253</v>
      </c>
      <c r="P45" s="19" t="s">
        <v>900</v>
      </c>
      <c r="Q45" s="50"/>
    </row>
    <row r="46" spans="1:17">
      <c r="A46" s="19"/>
      <c r="B46" s="29"/>
      <c r="C46" s="29"/>
      <c r="D46" s="29"/>
      <c r="E46" s="22"/>
      <c r="F46" s="22"/>
      <c r="G46" s="22"/>
      <c r="H46" s="19"/>
      <c r="I46" s="19" t="s">
        <v>902</v>
      </c>
      <c r="J46" s="22">
        <v>26.66</v>
      </c>
      <c r="K46" s="22">
        <v>2.66</v>
      </c>
      <c r="L46" s="22">
        <v>77.03</v>
      </c>
      <c r="M46" s="22">
        <v>6.31</v>
      </c>
      <c r="N46" s="22">
        <f t="shared" si="4"/>
        <v>20.536197999999999</v>
      </c>
      <c r="O46" s="22" t="s">
        <v>253</v>
      </c>
      <c r="P46" s="19" t="s">
        <v>900</v>
      </c>
      <c r="Q46" s="50"/>
    </row>
    <row r="47" spans="1:17">
      <c r="A47" s="19"/>
      <c r="B47" s="29"/>
      <c r="C47" s="29"/>
      <c r="D47" s="29"/>
      <c r="E47" s="22"/>
      <c r="F47" s="22"/>
      <c r="G47" s="22"/>
      <c r="H47" s="19"/>
      <c r="I47" s="19" t="s">
        <v>903</v>
      </c>
      <c r="J47" s="22">
        <v>23.98</v>
      </c>
      <c r="K47" s="22">
        <v>3.22</v>
      </c>
      <c r="L47" s="22">
        <v>45.7</v>
      </c>
      <c r="M47" s="22">
        <v>7.56</v>
      </c>
      <c r="N47" s="22">
        <f t="shared" si="4"/>
        <v>10.958860000000001</v>
      </c>
      <c r="O47" s="22" t="s">
        <v>253</v>
      </c>
      <c r="P47" s="19" t="s">
        <v>900</v>
      </c>
      <c r="Q47" s="50"/>
    </row>
    <row r="48" spans="1:17">
      <c r="A48" s="19"/>
      <c r="B48" s="29"/>
      <c r="C48" s="29"/>
      <c r="D48" s="29"/>
      <c r="E48" s="22"/>
      <c r="F48" s="22"/>
      <c r="G48" s="22"/>
      <c r="H48" s="19"/>
      <c r="I48" s="19" t="s">
        <v>904</v>
      </c>
      <c r="J48" s="22">
        <v>2.81</v>
      </c>
      <c r="K48" s="22">
        <v>1.08</v>
      </c>
      <c r="L48" s="22">
        <v>81.7</v>
      </c>
      <c r="M48" s="22">
        <v>13</v>
      </c>
      <c r="N48" s="22">
        <f t="shared" si="4"/>
        <v>2.2957700000000001</v>
      </c>
      <c r="O48" s="22" t="s">
        <v>253</v>
      </c>
      <c r="P48" s="19" t="s">
        <v>900</v>
      </c>
      <c r="Q48" s="50"/>
    </row>
    <row r="49" spans="1:17">
      <c r="A49" s="19"/>
      <c r="B49" s="29"/>
      <c r="C49" s="29"/>
      <c r="D49" s="29"/>
      <c r="E49" s="22"/>
      <c r="F49" s="22"/>
      <c r="G49" s="22"/>
      <c r="H49" s="19"/>
      <c r="I49" s="19" t="s">
        <v>1264</v>
      </c>
      <c r="J49" s="22">
        <v>63.61</v>
      </c>
      <c r="K49" s="22">
        <v>8.8699999999999992</v>
      </c>
      <c r="L49" s="22">
        <v>72.040000000000006</v>
      </c>
      <c r="M49" s="22">
        <v>5.01</v>
      </c>
      <c r="N49" s="22">
        <f t="shared" si="4"/>
        <v>45.824643999999999</v>
      </c>
      <c r="O49" s="22" t="s">
        <v>986</v>
      </c>
      <c r="P49" s="19" t="s">
        <v>900</v>
      </c>
      <c r="Q49" s="50"/>
    </row>
    <row r="50" spans="1:17">
      <c r="A50" s="19"/>
      <c r="B50" s="29"/>
      <c r="C50" s="29"/>
      <c r="D50" s="29"/>
      <c r="E50" s="22"/>
      <c r="F50" s="22"/>
      <c r="G50" s="22"/>
      <c r="H50" s="19"/>
      <c r="I50" s="19" t="s">
        <v>556</v>
      </c>
      <c r="J50" s="22">
        <v>73.75</v>
      </c>
      <c r="K50" s="22">
        <v>2.65</v>
      </c>
      <c r="L50" s="22">
        <v>77.59</v>
      </c>
      <c r="M50" s="22">
        <v>4.83</v>
      </c>
      <c r="N50" s="22">
        <f t="shared" si="4"/>
        <v>57.222625000000001</v>
      </c>
      <c r="O50" s="22" t="s">
        <v>986</v>
      </c>
      <c r="P50" s="19" t="s">
        <v>900</v>
      </c>
      <c r="Q50" s="50"/>
    </row>
    <row r="51" spans="1:17">
      <c r="A51" s="19" t="s">
        <v>1016</v>
      </c>
      <c r="B51" s="29" t="s">
        <v>1017</v>
      </c>
      <c r="C51" s="29" t="s">
        <v>1018</v>
      </c>
      <c r="D51" s="29" t="s">
        <v>1348</v>
      </c>
      <c r="E51" s="22">
        <v>1989</v>
      </c>
      <c r="F51" s="22">
        <v>9</v>
      </c>
      <c r="G51" s="22">
        <v>26</v>
      </c>
      <c r="H51" s="19" t="s">
        <v>1363</v>
      </c>
      <c r="I51" s="19" t="s">
        <v>544</v>
      </c>
      <c r="J51" s="22">
        <v>3.74</v>
      </c>
      <c r="K51" s="22">
        <v>0.55000000000000004</v>
      </c>
      <c r="L51" s="22">
        <v>100</v>
      </c>
      <c r="M51" s="22">
        <v>0</v>
      </c>
      <c r="N51" s="22">
        <f t="shared" si="4"/>
        <v>3.74</v>
      </c>
      <c r="O51" s="22" t="s">
        <v>986</v>
      </c>
      <c r="P51" s="19" t="s">
        <v>1349</v>
      </c>
      <c r="Q51" s="50"/>
    </row>
    <row r="52" spans="1:17">
      <c r="A52" s="19"/>
      <c r="B52" s="29"/>
      <c r="C52" s="29"/>
      <c r="D52" s="29"/>
      <c r="E52" s="22"/>
      <c r="F52" s="22"/>
      <c r="G52" s="22"/>
      <c r="H52" s="19"/>
      <c r="I52" s="19" t="s">
        <v>1350</v>
      </c>
      <c r="J52" s="22">
        <v>7.64</v>
      </c>
      <c r="K52" s="22">
        <v>0.56000000000000005</v>
      </c>
      <c r="L52" s="22">
        <v>99.95</v>
      </c>
      <c r="M52" s="22">
        <v>0.04</v>
      </c>
      <c r="N52" s="22">
        <f t="shared" si="4"/>
        <v>7.6361800000000004</v>
      </c>
      <c r="O52" s="22" t="s">
        <v>253</v>
      </c>
      <c r="P52" s="19" t="s">
        <v>1349</v>
      </c>
      <c r="Q52" s="50"/>
    </row>
    <row r="53" spans="1:17">
      <c r="A53" s="19"/>
      <c r="B53" s="29"/>
      <c r="C53" s="29"/>
      <c r="D53" s="29"/>
      <c r="E53" s="22"/>
      <c r="F53" s="22"/>
      <c r="G53" s="22"/>
      <c r="H53" s="19"/>
      <c r="I53" s="19" t="s">
        <v>901</v>
      </c>
      <c r="J53" s="22">
        <v>12.63</v>
      </c>
      <c r="K53" s="22">
        <v>0.93</v>
      </c>
      <c r="L53" s="22">
        <v>99.95</v>
      </c>
      <c r="M53" s="22">
        <v>0.04</v>
      </c>
      <c r="N53" s="22">
        <f t="shared" si="4"/>
        <v>12.623685000000002</v>
      </c>
      <c r="O53" s="22" t="s">
        <v>253</v>
      </c>
      <c r="P53" s="19" t="s">
        <v>1349</v>
      </c>
      <c r="Q53" s="50"/>
    </row>
    <row r="54" spans="1:17">
      <c r="A54" s="19"/>
      <c r="B54" s="29"/>
      <c r="C54" s="29"/>
      <c r="D54" s="29"/>
      <c r="E54" s="22"/>
      <c r="F54" s="22"/>
      <c r="G54" s="22"/>
      <c r="H54" s="19"/>
      <c r="I54" s="19" t="s">
        <v>902</v>
      </c>
      <c r="J54" s="22">
        <v>24.33</v>
      </c>
      <c r="K54" s="22">
        <v>2.13</v>
      </c>
      <c r="L54" s="22">
        <v>97.45</v>
      </c>
      <c r="M54" s="22">
        <v>1.06</v>
      </c>
      <c r="N54" s="22">
        <f t="shared" si="4"/>
        <v>23.709585000000001</v>
      </c>
      <c r="O54" s="22" t="s">
        <v>253</v>
      </c>
      <c r="P54" s="19" t="s">
        <v>1349</v>
      </c>
      <c r="Q54" s="50"/>
    </row>
    <row r="55" spans="1:17">
      <c r="A55" s="19"/>
      <c r="B55" s="29"/>
      <c r="C55" s="29"/>
      <c r="D55" s="29"/>
      <c r="E55" s="22"/>
      <c r="F55" s="22"/>
      <c r="G55" s="22"/>
      <c r="H55" s="19"/>
      <c r="I55" s="19" t="s">
        <v>903</v>
      </c>
      <c r="J55" s="22">
        <v>19.02</v>
      </c>
      <c r="K55" s="22">
        <v>2.88</v>
      </c>
      <c r="L55" s="22">
        <v>74.099999999999994</v>
      </c>
      <c r="M55" s="22">
        <v>5.48</v>
      </c>
      <c r="N55" s="22">
        <f t="shared" si="4"/>
        <v>14.093819999999999</v>
      </c>
      <c r="O55" s="22" t="s">
        <v>253</v>
      </c>
      <c r="P55" s="19" t="s">
        <v>1349</v>
      </c>
      <c r="Q55" s="50"/>
    </row>
    <row r="56" spans="1:17">
      <c r="A56" s="19"/>
      <c r="B56" s="29"/>
      <c r="C56" s="29"/>
      <c r="D56" s="29"/>
      <c r="E56" s="22"/>
      <c r="F56" s="22"/>
      <c r="G56" s="22"/>
      <c r="H56" s="19"/>
      <c r="I56" s="19" t="s">
        <v>904</v>
      </c>
      <c r="J56" s="22">
        <v>6.67</v>
      </c>
      <c r="K56" s="22">
        <v>1.83</v>
      </c>
      <c r="L56" s="22">
        <v>48.36</v>
      </c>
      <c r="M56" s="22">
        <v>13.77</v>
      </c>
      <c r="N56" s="22">
        <f t="shared" si="4"/>
        <v>3.2256119999999999</v>
      </c>
      <c r="O56" s="22" t="s">
        <v>253</v>
      </c>
      <c r="P56" s="19" t="s">
        <v>1349</v>
      </c>
      <c r="Q56" s="50"/>
    </row>
    <row r="57" spans="1:17">
      <c r="A57" s="19"/>
      <c r="B57" s="29"/>
      <c r="C57" s="29"/>
      <c r="D57" s="29"/>
      <c r="E57" s="22"/>
      <c r="F57" s="22"/>
      <c r="G57" s="22"/>
      <c r="H57" s="19"/>
      <c r="I57" s="19" t="s">
        <v>1158</v>
      </c>
      <c r="J57" s="22">
        <v>62.64</v>
      </c>
      <c r="K57" s="22">
        <v>4.3099999999999996</v>
      </c>
      <c r="L57" s="22">
        <v>86.63</v>
      </c>
      <c r="M57" s="22">
        <v>2.96</v>
      </c>
      <c r="N57" s="22">
        <f t="shared" si="4"/>
        <v>54.265031999999998</v>
      </c>
      <c r="O57" s="22" t="s">
        <v>253</v>
      </c>
      <c r="P57" s="19" t="s">
        <v>1349</v>
      </c>
      <c r="Q57" s="50"/>
    </row>
    <row r="58" spans="1:17">
      <c r="A58" s="19"/>
      <c r="B58" s="29"/>
      <c r="C58" s="29"/>
      <c r="D58" s="29"/>
      <c r="E58" s="22"/>
      <c r="F58" s="22"/>
      <c r="G58" s="22"/>
      <c r="H58" s="19"/>
      <c r="I58" s="19" t="s">
        <v>556</v>
      </c>
      <c r="J58" s="22">
        <v>74.02</v>
      </c>
      <c r="K58" s="22">
        <v>5</v>
      </c>
      <c r="L58" s="22">
        <v>88.45</v>
      </c>
      <c r="M58" s="22">
        <v>4.6100000000000003</v>
      </c>
      <c r="N58" s="22">
        <v>65.7</v>
      </c>
      <c r="O58" s="22" t="s">
        <v>253</v>
      </c>
      <c r="P58" s="19" t="s">
        <v>1349</v>
      </c>
      <c r="Q58" s="50"/>
    </row>
    <row r="59" spans="1:17">
      <c r="A59" s="19" t="s">
        <v>1016</v>
      </c>
      <c r="B59" s="29" t="s">
        <v>1017</v>
      </c>
      <c r="C59" s="29" t="s">
        <v>1018</v>
      </c>
      <c r="D59" s="29" t="s">
        <v>1229</v>
      </c>
      <c r="E59" s="22">
        <v>1989</v>
      </c>
      <c r="F59" s="22">
        <v>10</v>
      </c>
      <c r="G59" s="22">
        <v>4</v>
      </c>
      <c r="H59" s="19" t="s">
        <v>1363</v>
      </c>
      <c r="I59" s="19" t="s">
        <v>762</v>
      </c>
      <c r="J59" s="22">
        <v>3.58</v>
      </c>
      <c r="K59" s="22">
        <v>0.43</v>
      </c>
      <c r="L59" s="22">
        <v>100</v>
      </c>
      <c r="M59" s="22">
        <v>0</v>
      </c>
      <c r="N59" s="22">
        <f>J59*(L59/100)</f>
        <v>3.58</v>
      </c>
      <c r="O59" s="22" t="s">
        <v>253</v>
      </c>
      <c r="P59" s="19" t="s">
        <v>1157</v>
      </c>
      <c r="Q59" s="50"/>
    </row>
    <row r="60" spans="1:17">
      <c r="A60" s="19"/>
      <c r="B60" s="29"/>
      <c r="C60" s="29"/>
      <c r="D60" s="29"/>
      <c r="E60" s="22"/>
      <c r="F60" s="22"/>
      <c r="G60" s="22"/>
      <c r="H60" s="19"/>
      <c r="I60" s="19" t="s">
        <v>924</v>
      </c>
      <c r="J60" s="22">
        <v>6.66</v>
      </c>
      <c r="K60" s="22">
        <v>0.04</v>
      </c>
      <c r="L60" s="22">
        <v>99.97</v>
      </c>
      <c r="M60" s="22">
        <v>0.02</v>
      </c>
      <c r="N60" s="22">
        <f>J60*(L60/100)</f>
        <v>6.6580020000000006</v>
      </c>
      <c r="O60" s="22" t="s">
        <v>253</v>
      </c>
      <c r="P60" s="19" t="s">
        <v>1157</v>
      </c>
      <c r="Q60" s="50"/>
    </row>
    <row r="61" spans="1:17">
      <c r="A61" s="19"/>
      <c r="B61" s="29"/>
      <c r="C61" s="29"/>
      <c r="D61" s="29"/>
      <c r="E61" s="22"/>
      <c r="F61" s="22"/>
      <c r="G61" s="22"/>
      <c r="H61" s="19"/>
      <c r="I61" s="19" t="s">
        <v>901</v>
      </c>
      <c r="J61" s="22">
        <v>11.01</v>
      </c>
      <c r="K61" s="22">
        <v>0.77</v>
      </c>
      <c r="L61" s="22">
        <v>99.97</v>
      </c>
      <c r="M61" s="22">
        <v>0.02</v>
      </c>
      <c r="N61" s="22">
        <v>65.7</v>
      </c>
      <c r="O61" s="22" t="s">
        <v>986</v>
      </c>
      <c r="P61" s="19" t="s">
        <v>1157</v>
      </c>
      <c r="Q61" s="50"/>
    </row>
    <row r="62" spans="1:17">
      <c r="A62" s="19"/>
      <c r="B62" s="29"/>
      <c r="C62" s="29"/>
      <c r="D62" s="29"/>
      <c r="E62" s="22"/>
      <c r="F62" s="22"/>
      <c r="G62" s="22"/>
      <c r="H62" s="19"/>
      <c r="I62" s="19" t="s">
        <v>902</v>
      </c>
      <c r="J62" s="22">
        <v>26.01</v>
      </c>
      <c r="K62" s="22">
        <v>1.94</v>
      </c>
      <c r="L62" s="22">
        <v>98.77</v>
      </c>
      <c r="M62" s="22">
        <v>0.52</v>
      </c>
      <c r="N62" s="22">
        <f>J62*(L62/100)</f>
        <v>25.690076999999999</v>
      </c>
      <c r="O62" s="22" t="s">
        <v>986</v>
      </c>
      <c r="P62" s="19" t="s">
        <v>1157</v>
      </c>
      <c r="Q62" s="50"/>
    </row>
    <row r="63" spans="1:17">
      <c r="A63" s="19"/>
      <c r="B63" s="29"/>
      <c r="C63" s="29"/>
      <c r="D63" s="29"/>
      <c r="E63" s="22"/>
      <c r="F63" s="22"/>
      <c r="G63" s="22"/>
      <c r="H63" s="19"/>
      <c r="I63" s="19" t="s">
        <v>1247</v>
      </c>
      <c r="J63" s="22">
        <v>25.3</v>
      </c>
      <c r="K63" s="22">
        <v>2.23</v>
      </c>
      <c r="L63" s="22">
        <v>83.07</v>
      </c>
      <c r="M63" s="22">
        <v>4.3099999999999996</v>
      </c>
      <c r="N63" s="22">
        <f>J63*(L63/100)</f>
        <v>21.016709999999996</v>
      </c>
      <c r="O63" s="22" t="s">
        <v>986</v>
      </c>
      <c r="P63" s="19" t="s">
        <v>1157</v>
      </c>
      <c r="Q63" s="50"/>
    </row>
    <row r="64" spans="1:17">
      <c r="A64" s="19"/>
      <c r="B64" s="29"/>
      <c r="C64" s="29"/>
      <c r="D64" s="29"/>
      <c r="E64" s="22"/>
      <c r="F64" s="22"/>
      <c r="G64" s="22"/>
      <c r="H64" s="19"/>
      <c r="I64" s="19" t="s">
        <v>1248</v>
      </c>
      <c r="J64" s="22">
        <v>2.15</v>
      </c>
      <c r="K64" s="22">
        <v>0.8</v>
      </c>
      <c r="L64" s="22">
        <v>81.2</v>
      </c>
      <c r="M64" s="22">
        <v>13.26</v>
      </c>
      <c r="N64" s="22">
        <v>65.7</v>
      </c>
      <c r="O64" s="22" t="s">
        <v>986</v>
      </c>
      <c r="P64" s="19" t="s">
        <v>1157</v>
      </c>
      <c r="Q64" s="50"/>
    </row>
    <row r="65" spans="1:25">
      <c r="A65" s="19"/>
      <c r="B65" s="29"/>
      <c r="C65" s="29"/>
      <c r="D65" s="29"/>
      <c r="E65" s="22"/>
      <c r="F65" s="22"/>
      <c r="G65" s="22"/>
      <c r="H65" s="19"/>
      <c r="I65" s="19" t="s">
        <v>1264</v>
      </c>
      <c r="J65" s="22">
        <v>63.5</v>
      </c>
      <c r="K65" s="22">
        <v>3.9</v>
      </c>
      <c r="L65" s="22">
        <v>93.37</v>
      </c>
      <c r="M65" s="22">
        <v>1.49</v>
      </c>
      <c r="N65" s="22">
        <f>J65*(L65/100)</f>
        <v>59.289950000000005</v>
      </c>
      <c r="O65" s="22" t="s">
        <v>986</v>
      </c>
      <c r="P65" s="19" t="s">
        <v>1157</v>
      </c>
      <c r="Q65" s="50"/>
    </row>
    <row r="66" spans="1:25" ht="14" thickBot="1">
      <c r="A66" s="19"/>
      <c r="B66" s="29"/>
      <c r="C66" s="29"/>
      <c r="D66" s="29"/>
      <c r="E66" s="22"/>
      <c r="F66" s="22"/>
      <c r="G66" s="22"/>
      <c r="H66" s="19"/>
      <c r="I66" s="38" t="s">
        <v>485</v>
      </c>
      <c r="J66" s="45">
        <v>73.739999999999995</v>
      </c>
      <c r="K66" s="45">
        <v>1.93</v>
      </c>
      <c r="L66" s="45">
        <v>94.58</v>
      </c>
      <c r="M66" s="45">
        <v>1.3</v>
      </c>
      <c r="N66" s="45">
        <f>J66*(L66/100)</f>
        <v>69.743291999999997</v>
      </c>
      <c r="O66" s="45" t="s">
        <v>986</v>
      </c>
      <c r="P66" s="19" t="s">
        <v>1157</v>
      </c>
      <c r="Q66" s="50"/>
    </row>
    <row r="67" spans="1:25" ht="15">
      <c r="A67" s="35"/>
      <c r="B67" s="5"/>
      <c r="C67" s="5"/>
      <c r="D67" s="5"/>
      <c r="E67" s="147"/>
      <c r="F67" s="147"/>
      <c r="G67" s="147"/>
      <c r="H67" s="3"/>
      <c r="I67" s="47" t="s">
        <v>544</v>
      </c>
      <c r="J67" s="51">
        <f t="shared" ref="J67:J74" si="5">ROUND(AVERAGE(J43,J51,J59),1)</f>
        <v>3.8</v>
      </c>
      <c r="K67" s="51">
        <v>0.2</v>
      </c>
      <c r="L67" s="51">
        <f t="shared" ref="L67:L74" si="6">ROUND(AVERAGE(L43,L51,L59),1)</f>
        <v>98.3</v>
      </c>
      <c r="M67" s="51">
        <v>2.9</v>
      </c>
      <c r="N67" s="51">
        <f t="shared" ref="N67:N74" si="7">ROUND(AVERAGE(N43,N51,N59),1)</f>
        <v>3.7</v>
      </c>
      <c r="O67" s="52">
        <v>0.1</v>
      </c>
      <c r="P67" s="3"/>
      <c r="Q67" s="50"/>
    </row>
    <row r="68" spans="1:25" ht="15">
      <c r="A68" s="35"/>
      <c r="B68" s="5"/>
      <c r="C68" s="5"/>
      <c r="D68" s="5"/>
      <c r="E68" s="147"/>
      <c r="F68" s="147"/>
      <c r="G68" s="147"/>
      <c r="H68" s="3"/>
      <c r="I68" s="48" t="s">
        <v>924</v>
      </c>
      <c r="J68" s="53">
        <f t="shared" si="5"/>
        <v>6.8</v>
      </c>
      <c r="K68" s="53">
        <v>0.8</v>
      </c>
      <c r="L68" s="53">
        <f t="shared" si="6"/>
        <v>95</v>
      </c>
      <c r="M68" s="53">
        <v>8.6</v>
      </c>
      <c r="N68" s="53">
        <f t="shared" si="7"/>
        <v>6.5</v>
      </c>
      <c r="O68" s="54">
        <v>1.2</v>
      </c>
      <c r="P68" s="3"/>
      <c r="Q68" s="50"/>
    </row>
    <row r="69" spans="1:25" ht="15">
      <c r="A69" s="35"/>
      <c r="B69" s="5"/>
      <c r="C69" s="5"/>
      <c r="D69" s="5"/>
      <c r="E69" s="147"/>
      <c r="F69" s="147"/>
      <c r="G69" s="147"/>
      <c r="H69" s="3"/>
      <c r="I69" s="48" t="s">
        <v>901</v>
      </c>
      <c r="J69" s="53">
        <f t="shared" si="5"/>
        <v>11.3</v>
      </c>
      <c r="K69" s="53">
        <v>1.3</v>
      </c>
      <c r="L69" s="53">
        <f t="shared" si="6"/>
        <v>95</v>
      </c>
      <c r="M69" s="53">
        <v>8.6</v>
      </c>
      <c r="N69" s="53">
        <f t="shared" si="7"/>
        <v>29</v>
      </c>
      <c r="O69" s="54">
        <v>31.9</v>
      </c>
      <c r="P69" s="3"/>
      <c r="Q69" s="50"/>
    </row>
    <row r="70" spans="1:25" ht="15">
      <c r="A70" s="35"/>
      <c r="B70" s="5"/>
      <c r="C70" s="5"/>
      <c r="D70" s="5"/>
      <c r="E70" s="147"/>
      <c r="F70" s="147"/>
      <c r="G70" s="147"/>
      <c r="H70" s="3"/>
      <c r="I70" s="48" t="s">
        <v>1249</v>
      </c>
      <c r="J70" s="53">
        <f t="shared" si="5"/>
        <v>25.7</v>
      </c>
      <c r="K70" s="53">
        <v>1.2</v>
      </c>
      <c r="L70" s="53">
        <f t="shared" si="6"/>
        <v>91.1</v>
      </c>
      <c r="M70" s="53">
        <v>12.2</v>
      </c>
      <c r="N70" s="53">
        <f t="shared" si="7"/>
        <v>23.3</v>
      </c>
      <c r="O70" s="54">
        <v>2.6</v>
      </c>
      <c r="P70" s="3"/>
      <c r="Q70" s="50"/>
    </row>
    <row r="71" spans="1:25" ht="15">
      <c r="A71" s="35"/>
      <c r="B71" s="5"/>
      <c r="C71" s="5"/>
      <c r="D71" s="5"/>
      <c r="E71" s="147"/>
      <c r="F71" s="147"/>
      <c r="G71" s="147"/>
      <c r="H71" s="3"/>
      <c r="I71" s="48" t="s">
        <v>903</v>
      </c>
      <c r="J71" s="53">
        <f t="shared" si="5"/>
        <v>22.8</v>
      </c>
      <c r="K71" s="53">
        <v>3.3</v>
      </c>
      <c r="L71" s="53">
        <f t="shared" si="6"/>
        <v>67.599999999999994</v>
      </c>
      <c r="M71" s="53">
        <v>19.5</v>
      </c>
      <c r="N71" s="53">
        <f t="shared" si="7"/>
        <v>15.4</v>
      </c>
      <c r="O71" s="54">
        <v>5.0999999999999996</v>
      </c>
      <c r="P71" s="3"/>
      <c r="Q71" s="50"/>
    </row>
    <row r="72" spans="1:25" ht="15">
      <c r="A72" s="35"/>
      <c r="B72" s="5"/>
      <c r="C72" s="5"/>
      <c r="D72" s="5"/>
      <c r="E72" s="147"/>
      <c r="F72" s="147"/>
      <c r="G72" s="147"/>
      <c r="H72" s="3"/>
      <c r="I72" s="48" t="s">
        <v>904</v>
      </c>
      <c r="J72" s="53">
        <f t="shared" si="5"/>
        <v>3.9</v>
      </c>
      <c r="K72" s="53">
        <v>2.4</v>
      </c>
      <c r="L72" s="53">
        <f t="shared" si="6"/>
        <v>70.400000000000006</v>
      </c>
      <c r="M72" s="53">
        <v>19.100000000000001</v>
      </c>
      <c r="N72" s="53">
        <f t="shared" si="7"/>
        <v>23.7</v>
      </c>
      <c r="O72" s="54">
        <v>36.299999999999997</v>
      </c>
      <c r="P72" s="3"/>
      <c r="Q72" s="50"/>
    </row>
    <row r="73" spans="1:25" ht="15">
      <c r="A73" s="35"/>
      <c r="B73" s="5"/>
      <c r="C73" s="5"/>
      <c r="D73" s="5"/>
      <c r="E73" s="147"/>
      <c r="F73" s="147"/>
      <c r="G73" s="147"/>
      <c r="H73" s="3"/>
      <c r="I73" s="48" t="s">
        <v>1158</v>
      </c>
      <c r="J73" s="53">
        <f t="shared" si="5"/>
        <v>63.3</v>
      </c>
      <c r="K73" s="53">
        <v>0.5</v>
      </c>
      <c r="L73" s="53">
        <f t="shared" si="6"/>
        <v>84</v>
      </c>
      <c r="M73" s="53">
        <v>10.9</v>
      </c>
      <c r="N73" s="53">
        <f t="shared" si="7"/>
        <v>53.1</v>
      </c>
      <c r="O73" s="54">
        <v>6.8</v>
      </c>
      <c r="P73" s="3"/>
      <c r="Q73" s="50"/>
    </row>
    <row r="74" spans="1:25" ht="16" thickBot="1">
      <c r="A74" s="35"/>
      <c r="B74" s="5"/>
      <c r="C74" s="5"/>
      <c r="D74" s="5"/>
      <c r="E74" s="147"/>
      <c r="F74" s="147"/>
      <c r="G74" s="147"/>
      <c r="H74" s="3"/>
      <c r="I74" s="49" t="s">
        <v>1250</v>
      </c>
      <c r="J74" s="55">
        <f t="shared" si="5"/>
        <v>73.8</v>
      </c>
      <c r="K74" s="55">
        <v>0.2</v>
      </c>
      <c r="L74" s="55">
        <f t="shared" si="6"/>
        <v>86.9</v>
      </c>
      <c r="M74" s="55">
        <v>8.6</v>
      </c>
      <c r="N74" s="55">
        <f t="shared" si="7"/>
        <v>64.2</v>
      </c>
      <c r="O74" s="56">
        <v>6.4</v>
      </c>
      <c r="P74" s="3"/>
      <c r="Q74" s="50"/>
    </row>
    <row r="75" spans="1:25">
      <c r="I75"/>
      <c r="J75"/>
      <c r="K75"/>
      <c r="L75"/>
      <c r="M75"/>
      <c r="N75"/>
      <c r="O75"/>
    </row>
    <row r="76" spans="1:25" ht="14" thickBot="1">
      <c r="A76" s="296"/>
      <c r="B76" s="296"/>
      <c r="C76" s="296"/>
      <c r="D76" s="296"/>
      <c r="E76" s="301"/>
      <c r="F76" s="301"/>
      <c r="G76" s="301"/>
      <c r="H76" s="296"/>
      <c r="I76" s="296"/>
      <c r="J76" s="296"/>
      <c r="K76" s="296"/>
      <c r="L76" s="296"/>
      <c r="M76" s="296"/>
      <c r="N76" s="296"/>
      <c r="O76" s="296"/>
      <c r="P76" s="296"/>
    </row>
    <row r="77" spans="1:25" ht="14" thickBot="1">
      <c r="A77" s="19" t="s">
        <v>524</v>
      </c>
      <c r="B77" s="29" t="s">
        <v>633</v>
      </c>
      <c r="C77" s="29" t="s">
        <v>500</v>
      </c>
      <c r="D77" s="19" t="s">
        <v>525</v>
      </c>
      <c r="E77" s="22">
        <v>1990</v>
      </c>
      <c r="F77" s="22">
        <v>9</v>
      </c>
      <c r="G77" s="22">
        <v>9</v>
      </c>
      <c r="H77" s="19" t="s">
        <v>1363</v>
      </c>
      <c r="I77" s="19" t="s">
        <v>168</v>
      </c>
      <c r="J77" s="22">
        <v>11.8</v>
      </c>
      <c r="K77" s="22">
        <v>1.6</v>
      </c>
      <c r="L77" s="22">
        <f>ROUND((N77/J77)*100,1)</f>
        <v>100</v>
      </c>
      <c r="M77" s="22" t="s">
        <v>532</v>
      </c>
      <c r="N77" s="22">
        <v>11.8</v>
      </c>
      <c r="O77" s="22" t="s">
        <v>532</v>
      </c>
      <c r="P77" s="19" t="s">
        <v>526</v>
      </c>
      <c r="Q77" s="50"/>
      <c r="R77" s="180">
        <v>-4.5</v>
      </c>
      <c r="S77" s="181">
        <v>-49.01</v>
      </c>
      <c r="T77" s="50"/>
      <c r="U77" s="182">
        <v>-10.16</v>
      </c>
      <c r="V77" s="183">
        <v>-60.81</v>
      </c>
      <c r="X77" s="182">
        <v>-10.16</v>
      </c>
      <c r="Y77" s="183">
        <v>-60.81</v>
      </c>
    </row>
    <row r="78" spans="1:25" ht="14" thickBot="1">
      <c r="A78" s="19"/>
      <c r="B78" s="29"/>
      <c r="C78" s="29"/>
      <c r="D78" s="19"/>
      <c r="E78" s="22"/>
      <c r="F78" s="22"/>
      <c r="G78" s="22"/>
      <c r="H78" s="19"/>
      <c r="I78" s="19" t="s">
        <v>169</v>
      </c>
      <c r="J78" s="22" t="s">
        <v>181</v>
      </c>
      <c r="K78" s="22" t="s">
        <v>532</v>
      </c>
      <c r="L78" s="22" t="s">
        <v>532</v>
      </c>
      <c r="M78" s="22" t="s">
        <v>532</v>
      </c>
      <c r="N78" s="22" t="s">
        <v>532</v>
      </c>
      <c r="O78" s="22" t="s">
        <v>532</v>
      </c>
      <c r="P78" s="19" t="s">
        <v>526</v>
      </c>
      <c r="Q78" s="50"/>
      <c r="R78" s="180"/>
      <c r="S78" s="181"/>
      <c r="T78" s="50"/>
      <c r="U78" s="182"/>
      <c r="V78" s="183"/>
      <c r="X78" s="182"/>
      <c r="Y78" s="183"/>
    </row>
    <row r="79" spans="1:25" ht="14" thickBot="1">
      <c r="A79" s="19"/>
      <c r="B79" s="29"/>
      <c r="C79" s="29"/>
      <c r="D79" s="19"/>
      <c r="E79" s="22"/>
      <c r="F79" s="22"/>
      <c r="G79" s="22"/>
      <c r="H79" s="19"/>
      <c r="I79" s="19" t="s">
        <v>160</v>
      </c>
      <c r="J79" s="22">
        <v>11.8</v>
      </c>
      <c r="K79" s="22">
        <v>1.6</v>
      </c>
      <c r="L79" s="22">
        <f t="shared" ref="L79:L84" si="8">ROUND((N79/J79)*100,1)</f>
        <v>100</v>
      </c>
      <c r="M79" s="22" t="s">
        <v>532</v>
      </c>
      <c r="N79" s="22">
        <v>11.8</v>
      </c>
      <c r="O79" s="22" t="s">
        <v>532</v>
      </c>
      <c r="P79" s="19" t="s">
        <v>526</v>
      </c>
      <c r="Q79" s="50"/>
      <c r="R79" s="180"/>
      <c r="S79" s="181"/>
      <c r="T79" s="50"/>
      <c r="U79" s="182"/>
      <c r="V79" s="183"/>
      <c r="X79" s="182"/>
      <c r="Y79" s="183"/>
    </row>
    <row r="80" spans="1:25" ht="14" thickBot="1">
      <c r="A80" s="19"/>
      <c r="B80" s="29"/>
      <c r="C80" s="29"/>
      <c r="D80" s="19"/>
      <c r="E80" s="22"/>
      <c r="F80" s="22"/>
      <c r="G80" s="22"/>
      <c r="H80" s="19"/>
      <c r="I80" s="19" t="s">
        <v>161</v>
      </c>
      <c r="J80" s="22">
        <v>1.1000000000000001</v>
      </c>
      <c r="K80" s="22">
        <v>0.4</v>
      </c>
      <c r="L80" s="22">
        <f t="shared" si="8"/>
        <v>100</v>
      </c>
      <c r="M80" s="22" t="s">
        <v>191</v>
      </c>
      <c r="N80" s="22">
        <v>1.1000000000000001</v>
      </c>
      <c r="O80" s="22" t="s">
        <v>191</v>
      </c>
      <c r="P80" s="19" t="s">
        <v>526</v>
      </c>
      <c r="Q80" s="50"/>
      <c r="R80" s="180"/>
      <c r="S80" s="181"/>
      <c r="T80" s="50"/>
      <c r="U80" s="182"/>
      <c r="V80" s="183"/>
      <c r="X80" s="182"/>
      <c r="Y80" s="183"/>
    </row>
    <row r="81" spans="1:25" ht="14" thickBot="1">
      <c r="A81" s="19"/>
      <c r="B81" s="29"/>
      <c r="C81" s="29"/>
      <c r="D81" s="19"/>
      <c r="E81" s="22"/>
      <c r="F81" s="22"/>
      <c r="G81" s="22"/>
      <c r="H81" s="19"/>
      <c r="I81" s="19" t="s">
        <v>162</v>
      </c>
      <c r="J81" s="22">
        <v>2.8</v>
      </c>
      <c r="K81" s="22">
        <v>0.3</v>
      </c>
      <c r="L81" s="22">
        <f t="shared" si="8"/>
        <v>89.3</v>
      </c>
      <c r="M81" s="22" t="s">
        <v>265</v>
      </c>
      <c r="N81" s="22">
        <v>2.5</v>
      </c>
      <c r="O81" s="22" t="s">
        <v>265</v>
      </c>
      <c r="P81" s="19" t="s">
        <v>526</v>
      </c>
      <c r="Q81" s="50"/>
      <c r="R81" s="180"/>
      <c r="S81" s="181"/>
      <c r="T81" s="50"/>
      <c r="U81" s="182"/>
      <c r="V81" s="183"/>
      <c r="X81" s="182"/>
      <c r="Y81" s="183"/>
    </row>
    <row r="82" spans="1:25" ht="14" thickBot="1">
      <c r="A82" s="19"/>
      <c r="B82" s="29"/>
      <c r="C82" s="29"/>
      <c r="D82" s="19"/>
      <c r="E82" s="22"/>
      <c r="F82" s="22"/>
      <c r="G82" s="22"/>
      <c r="H82" s="19"/>
      <c r="I82" s="19" t="s">
        <v>163</v>
      </c>
      <c r="J82" s="22">
        <v>3.5</v>
      </c>
      <c r="K82" s="22">
        <v>0.4</v>
      </c>
      <c r="L82" s="22">
        <f t="shared" si="8"/>
        <v>91.4</v>
      </c>
      <c r="M82" s="22" t="s">
        <v>265</v>
      </c>
      <c r="N82" s="22">
        <v>3.2</v>
      </c>
      <c r="O82" s="22" t="s">
        <v>265</v>
      </c>
      <c r="P82" s="19" t="s">
        <v>526</v>
      </c>
      <c r="Q82" s="50"/>
      <c r="R82" s="180"/>
      <c r="S82" s="181"/>
      <c r="T82" s="50"/>
      <c r="U82" s="182"/>
      <c r="V82" s="183"/>
      <c r="X82" s="182"/>
      <c r="Y82" s="183"/>
    </row>
    <row r="83" spans="1:25" ht="14" thickBot="1">
      <c r="A83" s="19"/>
      <c r="B83" s="29"/>
      <c r="C83" s="29"/>
      <c r="D83" s="19"/>
      <c r="E83" s="22"/>
      <c r="F83" s="22"/>
      <c r="G83" s="22"/>
      <c r="H83" s="19"/>
      <c r="I83" s="19" t="s">
        <v>424</v>
      </c>
      <c r="J83" s="22">
        <v>18.8</v>
      </c>
      <c r="K83" s="22">
        <v>2</v>
      </c>
      <c r="L83" s="22">
        <f t="shared" si="8"/>
        <v>80.900000000000006</v>
      </c>
      <c r="M83" s="22" t="s">
        <v>265</v>
      </c>
      <c r="N83" s="22">
        <v>15.2</v>
      </c>
      <c r="O83" s="22" t="s">
        <v>265</v>
      </c>
      <c r="P83" s="19" t="s">
        <v>526</v>
      </c>
      <c r="Q83" s="50"/>
      <c r="R83" s="180"/>
      <c r="S83" s="181"/>
      <c r="T83" s="50"/>
      <c r="U83" s="182"/>
      <c r="V83" s="183"/>
      <c r="X83" s="182"/>
      <c r="Y83" s="183"/>
    </row>
    <row r="84" spans="1:25" ht="14" thickBot="1">
      <c r="A84" s="19"/>
      <c r="B84" s="29"/>
      <c r="C84" s="29"/>
      <c r="D84" s="19"/>
      <c r="E84" s="22"/>
      <c r="F84" s="22"/>
      <c r="G84" s="22"/>
      <c r="H84" s="19"/>
      <c r="I84" s="19" t="s">
        <v>425</v>
      </c>
      <c r="J84" s="22">
        <v>31.6</v>
      </c>
      <c r="K84" s="22">
        <v>3.1</v>
      </c>
      <c r="L84" s="22">
        <f t="shared" si="8"/>
        <v>59.2</v>
      </c>
      <c r="M84" s="22" t="s">
        <v>265</v>
      </c>
      <c r="N84" s="22">
        <f>31.6-12.9</f>
        <v>18.700000000000003</v>
      </c>
      <c r="O84" s="22" t="s">
        <v>265</v>
      </c>
      <c r="P84" s="19" t="s">
        <v>526</v>
      </c>
      <c r="Q84" s="50"/>
      <c r="R84" s="180"/>
      <c r="S84" s="181"/>
      <c r="T84" s="50"/>
      <c r="U84" s="182"/>
      <c r="V84" s="183"/>
      <c r="X84" s="182"/>
      <c r="Y84" s="183"/>
    </row>
    <row r="85" spans="1:25" ht="14" thickBot="1">
      <c r="A85" s="19"/>
      <c r="B85" s="29"/>
      <c r="C85" s="29"/>
      <c r="D85" s="19"/>
      <c r="E85" s="22"/>
      <c r="F85" s="22"/>
      <c r="G85" s="22"/>
      <c r="H85" s="19"/>
      <c r="I85" s="19" t="s">
        <v>172</v>
      </c>
      <c r="J85" s="22" t="s">
        <v>265</v>
      </c>
      <c r="K85" s="22" t="s">
        <v>532</v>
      </c>
      <c r="L85" s="22" t="s">
        <v>532</v>
      </c>
      <c r="M85" s="22" t="s">
        <v>532</v>
      </c>
      <c r="N85" s="22" t="s">
        <v>532</v>
      </c>
      <c r="O85" s="22" t="s">
        <v>532</v>
      </c>
      <c r="P85" s="19" t="s">
        <v>526</v>
      </c>
      <c r="Q85" s="50"/>
      <c r="R85" s="180"/>
      <c r="S85" s="181"/>
      <c r="T85" s="50"/>
      <c r="U85" s="182"/>
      <c r="V85" s="183"/>
      <c r="X85" s="182"/>
      <c r="Y85" s="183"/>
    </row>
    <row r="86" spans="1:25" ht="14" thickBot="1">
      <c r="A86" s="19"/>
      <c r="B86" s="29"/>
      <c r="C86" s="29"/>
      <c r="D86" s="19"/>
      <c r="E86" s="22"/>
      <c r="F86" s="22"/>
      <c r="G86" s="22"/>
      <c r="H86" s="19"/>
      <c r="I86" s="19" t="s">
        <v>173</v>
      </c>
      <c r="J86" s="22" t="s">
        <v>265</v>
      </c>
      <c r="K86" s="22" t="s">
        <v>532</v>
      </c>
      <c r="L86" s="22" t="s">
        <v>532</v>
      </c>
      <c r="M86" s="22" t="s">
        <v>532</v>
      </c>
      <c r="N86" s="22" t="s">
        <v>532</v>
      </c>
      <c r="O86" s="22" t="s">
        <v>532</v>
      </c>
      <c r="P86" s="19" t="s">
        <v>526</v>
      </c>
      <c r="Q86" s="50"/>
      <c r="R86" s="180"/>
      <c r="S86" s="181"/>
      <c r="T86" s="50"/>
      <c r="U86" s="182"/>
      <c r="V86" s="183"/>
      <c r="X86" s="182"/>
      <c r="Y86" s="183"/>
    </row>
    <row r="87" spans="1:25" ht="14" thickBot="1">
      <c r="A87" s="19"/>
      <c r="B87" s="29"/>
      <c r="C87" s="29"/>
      <c r="D87" s="19"/>
      <c r="E87" s="22"/>
      <c r="F87" s="22"/>
      <c r="G87" s="22"/>
      <c r="H87" s="19"/>
      <c r="I87" s="19" t="s">
        <v>174</v>
      </c>
      <c r="J87" s="22">
        <v>67.8</v>
      </c>
      <c r="K87" s="22">
        <v>6.4</v>
      </c>
      <c r="L87" s="22">
        <f>ROUND((N87/J87)*100,1)</f>
        <v>27.1</v>
      </c>
      <c r="M87" s="22" t="s">
        <v>265</v>
      </c>
      <c r="N87" s="22">
        <f>67.8-49.4</f>
        <v>18.399999999999999</v>
      </c>
      <c r="O87" s="22" t="s">
        <v>265</v>
      </c>
      <c r="P87" s="19" t="s">
        <v>526</v>
      </c>
      <c r="Q87" s="50"/>
      <c r="R87" s="180"/>
      <c r="S87" s="181"/>
      <c r="T87" s="50"/>
      <c r="U87" s="182"/>
      <c r="V87" s="183"/>
      <c r="X87" s="182"/>
      <c r="Y87" s="183"/>
    </row>
    <row r="88" spans="1:25" ht="14" thickBot="1">
      <c r="A88" s="19"/>
      <c r="B88" s="29"/>
      <c r="C88" s="29"/>
      <c r="D88" s="19"/>
      <c r="E88" s="22"/>
      <c r="F88" s="22"/>
      <c r="G88" s="22"/>
      <c r="H88" s="19"/>
      <c r="I88" s="19" t="s">
        <v>229</v>
      </c>
      <c r="J88" s="22" t="s">
        <v>188</v>
      </c>
      <c r="K88" s="22" t="s">
        <v>532</v>
      </c>
      <c r="L88" s="22" t="s">
        <v>329</v>
      </c>
      <c r="M88" s="22" t="s">
        <v>532</v>
      </c>
      <c r="N88" s="22" t="s">
        <v>190</v>
      </c>
      <c r="O88" s="22" t="s">
        <v>532</v>
      </c>
      <c r="P88" s="19" t="s">
        <v>526</v>
      </c>
      <c r="Q88" s="50"/>
      <c r="R88" s="180"/>
      <c r="S88" s="181"/>
      <c r="T88" s="50"/>
      <c r="U88" s="182"/>
      <c r="V88" s="183"/>
      <c r="X88" s="182"/>
      <c r="Y88" s="183"/>
    </row>
    <row r="89" spans="1:25" ht="14" thickBot="1">
      <c r="A89" s="19"/>
      <c r="B89" s="29"/>
      <c r="C89" s="29"/>
      <c r="D89" s="19"/>
      <c r="E89" s="22"/>
      <c r="F89" s="22"/>
      <c r="G89" s="22"/>
      <c r="H89" s="19"/>
      <c r="I89" s="19" t="s">
        <v>230</v>
      </c>
      <c r="J89" s="22" t="s">
        <v>532</v>
      </c>
      <c r="K89" s="22" t="s">
        <v>265</v>
      </c>
      <c r="L89" s="22" t="s">
        <v>330</v>
      </c>
      <c r="M89" s="22" t="s">
        <v>532</v>
      </c>
      <c r="N89" s="22" t="s">
        <v>532</v>
      </c>
      <c r="O89" s="22" t="s">
        <v>532</v>
      </c>
      <c r="P89" s="19" t="s">
        <v>526</v>
      </c>
      <c r="Q89" s="50"/>
      <c r="R89" s="180"/>
      <c r="S89" s="181"/>
      <c r="T89" s="50"/>
      <c r="U89" s="182"/>
      <c r="V89" s="183"/>
      <c r="X89" s="182"/>
      <c r="Y89" s="183"/>
    </row>
    <row r="90" spans="1:25" ht="14" thickBot="1">
      <c r="A90" s="19"/>
      <c r="B90" s="29"/>
      <c r="C90" s="29"/>
      <c r="D90" s="19"/>
      <c r="E90" s="22"/>
      <c r="F90" s="22"/>
      <c r="G90" s="22"/>
      <c r="H90" s="19"/>
      <c r="I90" s="19" t="s">
        <v>237</v>
      </c>
      <c r="J90" s="22">
        <v>155</v>
      </c>
      <c r="K90" s="22">
        <v>34.5</v>
      </c>
      <c r="L90" s="22">
        <f>ROUND((N90/J90)*100,1)</f>
        <v>52.6</v>
      </c>
      <c r="M90" s="22" t="s">
        <v>532</v>
      </c>
      <c r="N90" s="22">
        <f>155-73.5</f>
        <v>81.5</v>
      </c>
      <c r="O90" s="22" t="s">
        <v>532</v>
      </c>
      <c r="P90" s="19" t="s">
        <v>526</v>
      </c>
      <c r="Q90" s="50"/>
      <c r="R90" s="180"/>
      <c r="S90" s="181"/>
      <c r="T90" s="50"/>
      <c r="U90" s="182"/>
      <c r="V90" s="183"/>
      <c r="X90" s="182"/>
      <c r="Y90" s="183"/>
    </row>
    <row r="91" spans="1:25" ht="14" thickBot="1">
      <c r="A91" s="19"/>
      <c r="B91" s="29"/>
      <c r="C91" s="29"/>
      <c r="D91" s="19"/>
      <c r="E91" s="22"/>
      <c r="F91" s="22"/>
      <c r="G91" s="22"/>
      <c r="H91" s="19"/>
      <c r="I91" s="19" t="s">
        <v>238</v>
      </c>
      <c r="J91" s="22">
        <v>176.8</v>
      </c>
      <c r="K91" s="22">
        <v>36.200000000000003</v>
      </c>
      <c r="L91" s="22">
        <f>ROUND((N91/J91)*100,1)</f>
        <v>21</v>
      </c>
      <c r="M91" s="22" t="s">
        <v>532</v>
      </c>
      <c r="N91" s="22">
        <f>176.8-139.6</f>
        <v>37.200000000000017</v>
      </c>
      <c r="O91" s="22" t="s">
        <v>532</v>
      </c>
      <c r="P91" s="19" t="s">
        <v>526</v>
      </c>
      <c r="Q91" s="50"/>
      <c r="R91" s="180"/>
      <c r="S91" s="181"/>
      <c r="T91" s="50"/>
      <c r="U91" s="182"/>
      <c r="V91" s="183"/>
      <c r="X91" s="182"/>
      <c r="Y91" s="183"/>
    </row>
    <row r="92" spans="1:25" ht="14" thickBot="1">
      <c r="A92" s="19"/>
      <c r="B92" s="29"/>
      <c r="C92" s="29"/>
      <c r="D92" s="19"/>
      <c r="E92" s="22"/>
      <c r="F92" s="22"/>
      <c r="G92" s="22"/>
      <c r="H92" s="19"/>
      <c r="I92" s="19" t="s">
        <v>368</v>
      </c>
      <c r="J92" s="22">
        <v>292.39999999999998</v>
      </c>
      <c r="K92" s="22">
        <v>35.799999999999997</v>
      </c>
      <c r="L92" s="22">
        <f>ROUND((N92/J92)*100,1)</f>
        <v>52.2</v>
      </c>
      <c r="M92" s="22" t="s">
        <v>265</v>
      </c>
      <c r="N92" s="22">
        <f>292.4-139.9</f>
        <v>152.49999999999997</v>
      </c>
      <c r="O92" s="22" t="s">
        <v>265</v>
      </c>
      <c r="P92" s="19" t="s">
        <v>526</v>
      </c>
      <c r="Q92" s="50"/>
      <c r="R92" s="180"/>
      <c r="S92" s="181"/>
      <c r="T92" s="50"/>
      <c r="U92" s="182"/>
      <c r="V92" s="183"/>
      <c r="X92" s="182"/>
      <c r="Y92" s="183"/>
    </row>
    <row r="93" spans="1:25" ht="14" thickBot="1">
      <c r="A93" s="19" t="s">
        <v>524</v>
      </c>
      <c r="B93" s="29" t="s">
        <v>633</v>
      </c>
      <c r="C93" s="29" t="s">
        <v>500</v>
      </c>
      <c r="D93" s="19" t="s">
        <v>1255</v>
      </c>
      <c r="E93" s="22">
        <v>1991</v>
      </c>
      <c r="F93" s="22">
        <v>9</v>
      </c>
      <c r="G93" s="22">
        <v>4</v>
      </c>
      <c r="H93" s="19" t="s">
        <v>1363</v>
      </c>
      <c r="I93" s="19" t="s">
        <v>1217</v>
      </c>
      <c r="J93" s="22">
        <v>16.2</v>
      </c>
      <c r="K93" s="22">
        <v>1.4</v>
      </c>
      <c r="L93" s="22">
        <f>ROUND((N93/J93)*100,1)</f>
        <v>99.4</v>
      </c>
      <c r="M93" s="22" t="s">
        <v>532</v>
      </c>
      <c r="N93" s="22">
        <v>16.100000000000001</v>
      </c>
      <c r="O93" s="22" t="s">
        <v>532</v>
      </c>
      <c r="P93" s="19" t="s">
        <v>529</v>
      </c>
      <c r="Q93" s="50"/>
      <c r="R93" s="180">
        <v>-4.5</v>
      </c>
      <c r="S93" s="181">
        <v>-49.01</v>
      </c>
      <c r="T93" s="50"/>
      <c r="U93" s="182">
        <v>-3.37</v>
      </c>
      <c r="V93" s="183">
        <v>-52.62</v>
      </c>
      <c r="X93" s="182">
        <v>-3.37</v>
      </c>
      <c r="Y93" s="183">
        <v>-52.62</v>
      </c>
    </row>
    <row r="94" spans="1:25" ht="14" thickBot="1">
      <c r="A94" s="19"/>
      <c r="B94" s="29"/>
      <c r="C94" s="29"/>
      <c r="D94" s="19"/>
      <c r="E94" s="22"/>
      <c r="F94" s="22"/>
      <c r="G94" s="22"/>
      <c r="H94" s="19"/>
      <c r="I94" s="19" t="s">
        <v>169</v>
      </c>
      <c r="J94" s="22" t="s">
        <v>532</v>
      </c>
      <c r="K94" s="22" t="s">
        <v>265</v>
      </c>
      <c r="L94" s="22" t="s">
        <v>35</v>
      </c>
      <c r="M94" s="22" t="s">
        <v>265</v>
      </c>
      <c r="N94" s="22" t="s">
        <v>532</v>
      </c>
      <c r="O94" s="22" t="s">
        <v>265</v>
      </c>
      <c r="P94" s="19" t="s">
        <v>529</v>
      </c>
      <c r="Q94" s="50"/>
      <c r="R94" s="180"/>
      <c r="S94" s="181"/>
      <c r="T94" s="50"/>
      <c r="U94" s="182"/>
      <c r="V94" s="183"/>
      <c r="X94" s="182"/>
      <c r="Y94" s="183"/>
    </row>
    <row r="95" spans="1:25" ht="14" thickBot="1">
      <c r="A95" s="19"/>
      <c r="B95" s="29"/>
      <c r="C95" s="29"/>
      <c r="D95" s="19"/>
      <c r="E95" s="22"/>
      <c r="F95" s="22"/>
      <c r="G95" s="22"/>
      <c r="H95" s="19"/>
      <c r="I95" s="19" t="s">
        <v>160</v>
      </c>
      <c r="J95" s="22">
        <v>16.2</v>
      </c>
      <c r="K95" s="22">
        <v>1.4</v>
      </c>
      <c r="L95" s="22">
        <f t="shared" ref="L95:L108" si="9">ROUND((N95/J95)*100,1)</f>
        <v>99.4</v>
      </c>
      <c r="M95" s="22" t="s">
        <v>265</v>
      </c>
      <c r="N95" s="22">
        <v>16.100000000000001</v>
      </c>
      <c r="O95" s="22" t="s">
        <v>265</v>
      </c>
      <c r="P95" s="19" t="s">
        <v>529</v>
      </c>
      <c r="Q95" s="50"/>
      <c r="R95" s="180"/>
      <c r="S95" s="181"/>
      <c r="T95" s="50"/>
      <c r="U95" s="182"/>
      <c r="V95" s="183"/>
      <c r="X95" s="182"/>
      <c r="Y95" s="183"/>
    </row>
    <row r="96" spans="1:25" ht="14" thickBot="1">
      <c r="A96" s="19"/>
      <c r="B96" s="29"/>
      <c r="C96" s="29"/>
      <c r="D96" s="19"/>
      <c r="E96" s="22"/>
      <c r="F96" s="22"/>
      <c r="G96" s="22"/>
      <c r="H96" s="19"/>
      <c r="I96" s="19" t="s">
        <v>161</v>
      </c>
      <c r="J96" s="22">
        <v>0.4</v>
      </c>
      <c r="K96" s="22">
        <v>0.2</v>
      </c>
      <c r="L96" s="22">
        <f t="shared" si="9"/>
        <v>100</v>
      </c>
      <c r="M96" s="22" t="s">
        <v>265</v>
      </c>
      <c r="N96" s="22">
        <v>0.4</v>
      </c>
      <c r="O96" s="22" t="s">
        <v>265</v>
      </c>
      <c r="P96" s="19" t="s">
        <v>529</v>
      </c>
      <c r="Q96" s="50"/>
      <c r="R96" s="180"/>
      <c r="S96" s="181"/>
      <c r="T96" s="50"/>
      <c r="U96" s="182"/>
      <c r="V96" s="183"/>
      <c r="X96" s="182"/>
      <c r="Y96" s="183"/>
    </row>
    <row r="97" spans="1:25" ht="14" thickBot="1">
      <c r="A97" s="19"/>
      <c r="B97" s="29"/>
      <c r="C97" s="29"/>
      <c r="D97" s="19"/>
      <c r="E97" s="22"/>
      <c r="F97" s="22"/>
      <c r="G97" s="22"/>
      <c r="H97" s="19"/>
      <c r="I97" s="19" t="s">
        <v>162</v>
      </c>
      <c r="J97" s="22">
        <v>4.9000000000000004</v>
      </c>
      <c r="K97" s="22">
        <v>0.8</v>
      </c>
      <c r="L97" s="22">
        <f t="shared" si="9"/>
        <v>100</v>
      </c>
      <c r="M97" s="22" t="s">
        <v>265</v>
      </c>
      <c r="N97" s="22">
        <v>4.9000000000000004</v>
      </c>
      <c r="O97" s="22" t="s">
        <v>265</v>
      </c>
      <c r="P97" s="19" t="s">
        <v>529</v>
      </c>
      <c r="Q97" s="50"/>
      <c r="R97" s="180"/>
      <c r="S97" s="181"/>
      <c r="T97" s="50"/>
      <c r="U97" s="182"/>
      <c r="V97" s="183"/>
      <c r="X97" s="182"/>
      <c r="Y97" s="183"/>
    </row>
    <row r="98" spans="1:25" ht="14" thickBot="1">
      <c r="A98" s="19"/>
      <c r="B98" s="29"/>
      <c r="C98" s="29"/>
      <c r="D98" s="19"/>
      <c r="E98" s="22"/>
      <c r="F98" s="22"/>
      <c r="G98" s="22"/>
      <c r="H98" s="19"/>
      <c r="I98" s="19" t="s">
        <v>163</v>
      </c>
      <c r="J98" s="22">
        <v>3</v>
      </c>
      <c r="K98" s="22">
        <v>0.5</v>
      </c>
      <c r="L98" s="22">
        <f t="shared" si="9"/>
        <v>96.7</v>
      </c>
      <c r="M98" s="22" t="s">
        <v>532</v>
      </c>
      <c r="N98" s="22">
        <v>2.9</v>
      </c>
      <c r="O98" s="22" t="s">
        <v>532</v>
      </c>
      <c r="P98" s="19" t="s">
        <v>529</v>
      </c>
      <c r="Q98" s="50"/>
      <c r="R98" s="180"/>
      <c r="S98" s="181"/>
      <c r="T98" s="50"/>
      <c r="U98" s="182"/>
      <c r="V98" s="183"/>
      <c r="X98" s="182"/>
      <c r="Y98" s="183"/>
    </row>
    <row r="99" spans="1:25" ht="14" thickBot="1">
      <c r="A99" s="19"/>
      <c r="B99" s="29"/>
      <c r="C99" s="29"/>
      <c r="D99" s="19"/>
      <c r="E99" s="22"/>
      <c r="F99" s="22"/>
      <c r="G99" s="22"/>
      <c r="H99" s="19"/>
      <c r="I99" s="19" t="s">
        <v>424</v>
      </c>
      <c r="J99" s="22">
        <v>17.2</v>
      </c>
      <c r="K99" s="22">
        <v>3.1</v>
      </c>
      <c r="L99" s="22">
        <f t="shared" si="9"/>
        <v>89</v>
      </c>
      <c r="M99" s="22" t="s">
        <v>532</v>
      </c>
      <c r="N99" s="22">
        <v>15.3</v>
      </c>
      <c r="O99" s="22" t="s">
        <v>532</v>
      </c>
      <c r="P99" s="19" t="s">
        <v>529</v>
      </c>
      <c r="Q99" s="50"/>
      <c r="R99" s="180"/>
      <c r="S99" s="181"/>
      <c r="T99" s="50"/>
      <c r="U99" s="182"/>
      <c r="V99" s="183"/>
      <c r="X99" s="182"/>
      <c r="Y99" s="183"/>
    </row>
    <row r="100" spans="1:25" ht="14" thickBot="1">
      <c r="A100" s="19"/>
      <c r="B100" s="29"/>
      <c r="C100" s="29"/>
      <c r="D100" s="19"/>
      <c r="E100" s="22"/>
      <c r="F100" s="22"/>
      <c r="G100" s="22"/>
      <c r="H100" s="19"/>
      <c r="I100" s="19" t="s">
        <v>425</v>
      </c>
      <c r="J100" s="22">
        <v>33</v>
      </c>
      <c r="K100" s="22">
        <v>5.2</v>
      </c>
      <c r="L100" s="22">
        <f t="shared" si="9"/>
        <v>65.8</v>
      </c>
      <c r="M100" s="22" t="s">
        <v>265</v>
      </c>
      <c r="N100" s="22">
        <v>21.7</v>
      </c>
      <c r="O100" s="22" t="s">
        <v>265</v>
      </c>
      <c r="P100" s="19" t="s">
        <v>529</v>
      </c>
      <c r="Q100" s="50"/>
      <c r="R100" s="180"/>
      <c r="S100" s="181"/>
      <c r="T100" s="50"/>
      <c r="U100" s="182"/>
      <c r="V100" s="183"/>
      <c r="X100" s="182"/>
      <c r="Y100" s="183"/>
    </row>
    <row r="101" spans="1:25" ht="14" thickBot="1">
      <c r="A101" s="19"/>
      <c r="B101" s="29"/>
      <c r="C101" s="29"/>
      <c r="D101" s="19"/>
      <c r="E101" s="22"/>
      <c r="F101" s="22"/>
      <c r="G101" s="22"/>
      <c r="H101" s="19"/>
      <c r="I101" s="19" t="s">
        <v>172</v>
      </c>
      <c r="J101" s="22">
        <v>53</v>
      </c>
      <c r="K101" s="22">
        <v>6.2</v>
      </c>
      <c r="L101" s="22">
        <f t="shared" si="9"/>
        <v>25.3</v>
      </c>
      <c r="M101" s="22" t="s">
        <v>532</v>
      </c>
      <c r="N101" s="22">
        <f>53-39.6</f>
        <v>13.399999999999999</v>
      </c>
      <c r="O101" s="22" t="s">
        <v>532</v>
      </c>
      <c r="P101" s="19" t="s">
        <v>529</v>
      </c>
      <c r="Q101" s="50"/>
      <c r="R101" s="180"/>
      <c r="S101" s="181"/>
      <c r="T101" s="50"/>
      <c r="U101" s="182"/>
      <c r="V101" s="183"/>
      <c r="X101" s="182"/>
      <c r="Y101" s="183"/>
    </row>
    <row r="102" spans="1:25" ht="14" thickBot="1">
      <c r="A102" s="19"/>
      <c r="B102" s="29"/>
      <c r="C102" s="29"/>
      <c r="D102" s="19"/>
      <c r="E102" s="22"/>
      <c r="F102" s="22"/>
      <c r="G102" s="22"/>
      <c r="H102" s="19"/>
      <c r="I102" s="19" t="s">
        <v>173</v>
      </c>
      <c r="J102" s="22">
        <v>3.6</v>
      </c>
      <c r="K102" s="22">
        <v>1.3</v>
      </c>
      <c r="L102" s="22">
        <f t="shared" si="9"/>
        <v>100</v>
      </c>
      <c r="M102" s="22" t="s">
        <v>265</v>
      </c>
      <c r="N102" s="22">
        <v>3.6</v>
      </c>
      <c r="O102" s="22" t="s">
        <v>265</v>
      </c>
      <c r="P102" s="19" t="s">
        <v>529</v>
      </c>
      <c r="Q102" s="50"/>
      <c r="R102" s="180"/>
      <c r="S102" s="181"/>
      <c r="T102" s="50"/>
      <c r="U102" s="182"/>
      <c r="V102" s="183"/>
      <c r="X102" s="182"/>
      <c r="Y102" s="183"/>
    </row>
    <row r="103" spans="1:25" ht="14" thickBot="1">
      <c r="A103" s="19"/>
      <c r="B103" s="29"/>
      <c r="C103" s="29"/>
      <c r="D103" s="19"/>
      <c r="E103" s="22"/>
      <c r="F103" s="22"/>
      <c r="G103" s="22"/>
      <c r="H103" s="19"/>
      <c r="I103" s="19" t="s">
        <v>174</v>
      </c>
      <c r="J103" s="22">
        <v>56.6</v>
      </c>
      <c r="K103" s="22">
        <v>6.2</v>
      </c>
      <c r="L103" s="22">
        <f t="shared" si="9"/>
        <v>30</v>
      </c>
      <c r="M103" s="22" t="s">
        <v>532</v>
      </c>
      <c r="N103" s="22">
        <f>56.6-39.6</f>
        <v>17</v>
      </c>
      <c r="O103" s="22" t="s">
        <v>532</v>
      </c>
      <c r="P103" s="19" t="s">
        <v>529</v>
      </c>
      <c r="Q103" s="50"/>
      <c r="R103" s="180"/>
      <c r="S103" s="181"/>
      <c r="T103" s="50"/>
      <c r="U103" s="182"/>
      <c r="V103" s="183"/>
      <c r="X103" s="182"/>
      <c r="Y103" s="183"/>
    </row>
    <row r="104" spans="1:25" ht="14" thickBot="1">
      <c r="A104" s="19"/>
      <c r="B104" s="29"/>
      <c r="C104" s="29"/>
      <c r="D104" s="19"/>
      <c r="E104" s="22"/>
      <c r="F104" s="22"/>
      <c r="G104" s="22"/>
      <c r="H104" s="19"/>
      <c r="I104" s="19" t="s">
        <v>229</v>
      </c>
      <c r="J104" s="22">
        <v>283.7</v>
      </c>
      <c r="K104" s="22">
        <v>63.7</v>
      </c>
      <c r="L104" s="22">
        <f t="shared" si="9"/>
        <v>45.7</v>
      </c>
      <c r="M104" s="22" t="s">
        <v>265</v>
      </c>
      <c r="N104" s="22">
        <f>283.7-154.1</f>
        <v>129.6</v>
      </c>
      <c r="O104" s="22" t="s">
        <v>265</v>
      </c>
      <c r="P104" s="19" t="s">
        <v>529</v>
      </c>
      <c r="Q104" s="50"/>
      <c r="R104" s="180"/>
      <c r="S104" s="181"/>
      <c r="T104" s="50"/>
      <c r="U104" s="182"/>
      <c r="V104" s="183"/>
      <c r="X104" s="182"/>
      <c r="Y104" s="183"/>
    </row>
    <row r="105" spans="1:25" ht="14" thickBot="1">
      <c r="A105" s="19"/>
      <c r="B105" s="29"/>
      <c r="C105" s="29"/>
      <c r="D105" s="19"/>
      <c r="E105" s="22"/>
      <c r="F105" s="22"/>
      <c r="G105" s="22"/>
      <c r="H105" s="19"/>
      <c r="I105" s="19" t="s">
        <v>230</v>
      </c>
      <c r="J105" s="22">
        <v>19.5</v>
      </c>
      <c r="K105" s="22">
        <v>10.1</v>
      </c>
      <c r="L105" s="22">
        <f t="shared" si="9"/>
        <v>100</v>
      </c>
      <c r="M105" s="22" t="s">
        <v>265</v>
      </c>
      <c r="N105" s="22">
        <v>19.5</v>
      </c>
      <c r="O105" s="22" t="s">
        <v>265</v>
      </c>
      <c r="P105" s="19" t="s">
        <v>529</v>
      </c>
      <c r="Q105" s="50"/>
      <c r="R105" s="180"/>
      <c r="S105" s="181"/>
      <c r="T105" s="50"/>
      <c r="U105" s="182"/>
      <c r="V105" s="183"/>
      <c r="X105" s="182"/>
      <c r="Y105" s="183"/>
    </row>
    <row r="106" spans="1:25" ht="14" thickBot="1">
      <c r="A106" s="19"/>
      <c r="B106" s="29"/>
      <c r="C106" s="29"/>
      <c r="D106" s="19"/>
      <c r="E106" s="22"/>
      <c r="F106" s="22"/>
      <c r="G106" s="22"/>
      <c r="H106" s="19"/>
      <c r="I106" s="19" t="s">
        <v>237</v>
      </c>
      <c r="J106" s="22">
        <v>303.3</v>
      </c>
      <c r="K106" s="22">
        <v>64.5</v>
      </c>
      <c r="L106" s="22">
        <f t="shared" si="9"/>
        <v>49.2</v>
      </c>
      <c r="M106" s="22" t="s">
        <v>292</v>
      </c>
      <c r="N106" s="22">
        <f>303.3-154.1</f>
        <v>149.20000000000002</v>
      </c>
      <c r="O106" s="22" t="s">
        <v>292</v>
      </c>
      <c r="P106" s="19" t="s">
        <v>529</v>
      </c>
      <c r="Q106" s="50"/>
      <c r="R106" s="180"/>
      <c r="S106" s="181"/>
      <c r="T106" s="50"/>
      <c r="U106" s="182"/>
      <c r="V106" s="183"/>
      <c r="X106" s="182"/>
      <c r="Y106" s="183"/>
    </row>
    <row r="107" spans="1:25" ht="14" thickBot="1">
      <c r="A107" s="19"/>
      <c r="B107" s="29"/>
      <c r="C107" s="29"/>
      <c r="D107" s="19"/>
      <c r="E107" s="22"/>
      <c r="F107" s="22"/>
      <c r="G107" s="22"/>
      <c r="H107" s="19"/>
      <c r="I107" s="19" t="s">
        <v>238</v>
      </c>
      <c r="J107" s="22">
        <v>413.1</v>
      </c>
      <c r="K107" s="22">
        <v>71</v>
      </c>
      <c r="L107" s="22">
        <f t="shared" si="9"/>
        <v>49.9</v>
      </c>
      <c r="M107" s="22" t="s">
        <v>265</v>
      </c>
      <c r="N107" s="22">
        <f>413.1-207</f>
        <v>206.10000000000002</v>
      </c>
      <c r="O107" s="22" t="s">
        <v>265</v>
      </c>
      <c r="P107" s="19" t="s">
        <v>529</v>
      </c>
      <c r="Q107" s="50"/>
      <c r="R107" s="180"/>
      <c r="S107" s="181"/>
      <c r="T107" s="50"/>
      <c r="U107" s="182"/>
      <c r="V107" s="183"/>
      <c r="X107" s="182"/>
      <c r="Y107" s="183"/>
    </row>
    <row r="108" spans="1:25" ht="14" thickBot="1">
      <c r="A108" s="19"/>
      <c r="B108" s="29"/>
      <c r="C108" s="29"/>
      <c r="D108" s="19"/>
      <c r="E108" s="22"/>
      <c r="F108" s="22"/>
      <c r="G108" s="22"/>
      <c r="H108" s="19"/>
      <c r="I108" s="38" t="s">
        <v>368</v>
      </c>
      <c r="J108" s="45">
        <v>434.6</v>
      </c>
      <c r="K108" s="45">
        <v>72.2</v>
      </c>
      <c r="L108" s="45">
        <f t="shared" si="9"/>
        <v>52.3</v>
      </c>
      <c r="M108" s="45" t="s">
        <v>532</v>
      </c>
      <c r="N108" s="45">
        <f>434.6-207.1</f>
        <v>227.50000000000003</v>
      </c>
      <c r="O108" s="45" t="s">
        <v>532</v>
      </c>
      <c r="P108" s="19" t="s">
        <v>529</v>
      </c>
      <c r="Q108" s="50"/>
      <c r="R108" s="180"/>
      <c r="S108" s="181"/>
      <c r="T108" s="50"/>
      <c r="U108" s="182"/>
      <c r="V108" s="183"/>
      <c r="X108" s="182"/>
      <c r="Y108" s="183"/>
    </row>
    <row r="109" spans="1:25" ht="14" thickBot="1">
      <c r="A109" s="35"/>
      <c r="B109" s="5"/>
      <c r="C109" s="5"/>
      <c r="D109" s="3"/>
      <c r="E109" s="74"/>
      <c r="F109" s="74"/>
      <c r="G109" s="74"/>
      <c r="H109" s="3"/>
      <c r="I109" s="255" t="s">
        <v>369</v>
      </c>
      <c r="J109" s="258">
        <f>ROUND(AVERAGE(J77,J93),1)</f>
        <v>14</v>
      </c>
      <c r="K109" s="258" t="s">
        <v>532</v>
      </c>
      <c r="L109" s="258">
        <f>ROUND(AVERAGE(L77,L93),1)</f>
        <v>99.7</v>
      </c>
      <c r="M109" s="258" t="s">
        <v>532</v>
      </c>
      <c r="N109" s="258">
        <f>ROUND(AVERAGE(N77,N93),1)</f>
        <v>14</v>
      </c>
      <c r="O109" s="259" t="s">
        <v>532</v>
      </c>
      <c r="P109" s="3"/>
      <c r="Q109" s="50"/>
      <c r="R109" s="185">
        <v>-4.5</v>
      </c>
      <c r="S109" s="186">
        <v>-49.01</v>
      </c>
      <c r="T109" s="50"/>
      <c r="U109" s="187">
        <v>-4.3</v>
      </c>
      <c r="V109" s="188">
        <v>-49.03</v>
      </c>
      <c r="X109" s="187">
        <v>-4.3</v>
      </c>
      <c r="Y109" s="188">
        <v>-49.03</v>
      </c>
    </row>
    <row r="110" spans="1:25" ht="14" thickBot="1">
      <c r="A110" s="3"/>
      <c r="B110" s="5"/>
      <c r="C110" s="5"/>
      <c r="D110" s="3"/>
      <c r="E110" s="74"/>
      <c r="F110" s="74"/>
      <c r="G110" s="74"/>
      <c r="H110" s="3"/>
      <c r="I110" s="256" t="s">
        <v>117</v>
      </c>
      <c r="J110" s="260" t="s">
        <v>329</v>
      </c>
      <c r="K110" s="260" t="s">
        <v>330</v>
      </c>
      <c r="L110" s="260" t="s">
        <v>532</v>
      </c>
      <c r="M110" s="260" t="s">
        <v>330</v>
      </c>
      <c r="N110" s="260" t="s">
        <v>532</v>
      </c>
      <c r="O110" s="261" t="s">
        <v>330</v>
      </c>
      <c r="P110" s="3"/>
      <c r="Q110" s="50"/>
      <c r="R110" s="180"/>
      <c r="S110" s="181"/>
      <c r="T110" s="50"/>
      <c r="U110" s="182"/>
      <c r="V110" s="183"/>
      <c r="X110" s="182"/>
      <c r="Y110" s="183"/>
    </row>
    <row r="111" spans="1:25" ht="14" thickBot="1">
      <c r="A111" s="3"/>
      <c r="B111" s="5"/>
      <c r="C111" s="5"/>
      <c r="D111" s="3"/>
      <c r="E111" s="74"/>
      <c r="F111" s="74"/>
      <c r="G111" s="74"/>
      <c r="H111" s="3"/>
      <c r="I111" s="256" t="s">
        <v>118</v>
      </c>
      <c r="J111" s="260">
        <f t="shared" ref="J111:J124" si="10">ROUND(AVERAGE(J79,J95),1)</f>
        <v>14</v>
      </c>
      <c r="K111" s="260" t="s">
        <v>532</v>
      </c>
      <c r="L111" s="260">
        <f t="shared" ref="L111:L124" si="11">ROUND(AVERAGE(L79,L95),1)</f>
        <v>99.7</v>
      </c>
      <c r="M111" s="260" t="s">
        <v>532</v>
      </c>
      <c r="N111" s="260">
        <f t="shared" ref="N111:N124" si="12">ROUND(AVERAGE(N79,N95),1)</f>
        <v>14</v>
      </c>
      <c r="O111" s="261" t="s">
        <v>532</v>
      </c>
      <c r="P111" s="3"/>
      <c r="Q111" s="50"/>
      <c r="R111" s="180"/>
      <c r="S111" s="181"/>
      <c r="T111" s="50"/>
      <c r="U111" s="182"/>
      <c r="V111" s="183"/>
      <c r="X111" s="182"/>
      <c r="Y111" s="183"/>
    </row>
    <row r="112" spans="1:25" ht="14" thickBot="1">
      <c r="A112" s="3"/>
      <c r="B112" s="5"/>
      <c r="C112" s="5"/>
      <c r="D112" s="3"/>
      <c r="E112" s="74"/>
      <c r="F112" s="74"/>
      <c r="G112" s="74"/>
      <c r="H112" s="3"/>
      <c r="I112" s="256" t="s">
        <v>119</v>
      </c>
      <c r="J112" s="260">
        <f t="shared" si="10"/>
        <v>0.8</v>
      </c>
      <c r="K112" s="260" t="s">
        <v>532</v>
      </c>
      <c r="L112" s="260">
        <f t="shared" si="11"/>
        <v>100</v>
      </c>
      <c r="M112" s="260" t="s">
        <v>532</v>
      </c>
      <c r="N112" s="260">
        <f t="shared" si="12"/>
        <v>0.8</v>
      </c>
      <c r="O112" s="261" t="s">
        <v>532</v>
      </c>
      <c r="P112" s="3"/>
      <c r="Q112" s="50"/>
      <c r="R112" s="180"/>
      <c r="S112" s="181"/>
      <c r="T112" s="50"/>
      <c r="U112" s="182"/>
      <c r="V112" s="183"/>
      <c r="X112" s="182"/>
      <c r="Y112" s="183"/>
    </row>
    <row r="113" spans="1:25" ht="14" thickBot="1">
      <c r="A113" s="3"/>
      <c r="B113" s="5"/>
      <c r="C113" s="5"/>
      <c r="D113" s="3"/>
      <c r="E113" s="74"/>
      <c r="F113" s="74"/>
      <c r="G113" s="74"/>
      <c r="H113" s="3"/>
      <c r="I113" s="256" t="s">
        <v>162</v>
      </c>
      <c r="J113" s="260">
        <f t="shared" si="10"/>
        <v>3.9</v>
      </c>
      <c r="K113" s="260" t="s">
        <v>532</v>
      </c>
      <c r="L113" s="260">
        <f t="shared" si="11"/>
        <v>94.7</v>
      </c>
      <c r="M113" s="260" t="s">
        <v>532</v>
      </c>
      <c r="N113" s="260">
        <f t="shared" si="12"/>
        <v>3.7</v>
      </c>
      <c r="O113" s="261" t="s">
        <v>532</v>
      </c>
      <c r="P113" s="3"/>
      <c r="Q113" s="50"/>
      <c r="R113" s="180"/>
      <c r="S113" s="181"/>
      <c r="T113" s="50"/>
      <c r="U113" s="182"/>
      <c r="V113" s="183"/>
      <c r="X113" s="182"/>
      <c r="Y113" s="183"/>
    </row>
    <row r="114" spans="1:25" ht="14" thickBot="1">
      <c r="A114" s="3"/>
      <c r="B114" s="5"/>
      <c r="C114" s="5"/>
      <c r="D114" s="3"/>
      <c r="E114" s="74"/>
      <c r="F114" s="74"/>
      <c r="G114" s="74"/>
      <c r="H114" s="3"/>
      <c r="I114" s="256" t="s">
        <v>585</v>
      </c>
      <c r="J114" s="260">
        <f t="shared" si="10"/>
        <v>3.3</v>
      </c>
      <c r="K114" s="260" t="s">
        <v>532</v>
      </c>
      <c r="L114" s="260">
        <f t="shared" si="11"/>
        <v>94.1</v>
      </c>
      <c r="M114" s="260" t="s">
        <v>532</v>
      </c>
      <c r="N114" s="260">
        <f t="shared" si="12"/>
        <v>3.1</v>
      </c>
      <c r="O114" s="261" t="s">
        <v>532</v>
      </c>
      <c r="P114" s="3"/>
      <c r="Q114" s="50"/>
      <c r="R114" s="180"/>
      <c r="S114" s="181"/>
      <c r="T114" s="50"/>
      <c r="U114" s="182"/>
      <c r="V114" s="183"/>
      <c r="X114" s="182"/>
      <c r="Y114" s="183"/>
    </row>
    <row r="115" spans="1:25" ht="14" thickBot="1">
      <c r="A115" s="3"/>
      <c r="B115" s="5"/>
      <c r="C115" s="5"/>
      <c r="D115" s="3"/>
      <c r="E115" s="74"/>
      <c r="F115" s="74"/>
      <c r="G115" s="74"/>
      <c r="H115" s="3"/>
      <c r="I115" s="256" t="s">
        <v>448</v>
      </c>
      <c r="J115" s="260">
        <f t="shared" si="10"/>
        <v>18</v>
      </c>
      <c r="K115" s="260" t="s">
        <v>532</v>
      </c>
      <c r="L115" s="260">
        <f t="shared" si="11"/>
        <v>85</v>
      </c>
      <c r="M115" s="260" t="s">
        <v>532</v>
      </c>
      <c r="N115" s="260">
        <f t="shared" si="12"/>
        <v>15.3</v>
      </c>
      <c r="O115" s="261" t="s">
        <v>532</v>
      </c>
      <c r="P115" s="3"/>
      <c r="Q115" s="50"/>
      <c r="R115" s="180"/>
      <c r="S115" s="181"/>
      <c r="T115" s="50"/>
      <c r="U115" s="182"/>
      <c r="V115" s="183"/>
      <c r="X115" s="182"/>
      <c r="Y115" s="183"/>
    </row>
    <row r="116" spans="1:25" ht="14" thickBot="1">
      <c r="A116" s="3"/>
      <c r="B116" s="5"/>
      <c r="C116" s="5"/>
      <c r="D116" s="3"/>
      <c r="E116" s="74"/>
      <c r="F116" s="74"/>
      <c r="G116" s="74"/>
      <c r="H116" s="3"/>
      <c r="I116" s="256" t="s">
        <v>468</v>
      </c>
      <c r="J116" s="260">
        <f t="shared" si="10"/>
        <v>32.299999999999997</v>
      </c>
      <c r="K116" s="260" t="s">
        <v>532</v>
      </c>
      <c r="L116" s="260">
        <f t="shared" si="11"/>
        <v>62.5</v>
      </c>
      <c r="M116" s="260" t="s">
        <v>532</v>
      </c>
      <c r="N116" s="260">
        <f t="shared" si="12"/>
        <v>20.2</v>
      </c>
      <c r="O116" s="261" t="s">
        <v>532</v>
      </c>
      <c r="P116" s="3"/>
      <c r="Q116" s="50"/>
      <c r="R116" s="180"/>
      <c r="S116" s="181"/>
      <c r="T116" s="50"/>
      <c r="U116" s="182"/>
      <c r="V116" s="183"/>
      <c r="X116" s="182"/>
      <c r="Y116" s="183"/>
    </row>
    <row r="117" spans="1:25" ht="14" thickBot="1">
      <c r="A117" s="3"/>
      <c r="B117" s="5"/>
      <c r="C117" s="5"/>
      <c r="D117" s="3"/>
      <c r="E117" s="74"/>
      <c r="F117" s="74"/>
      <c r="G117" s="74"/>
      <c r="H117" s="3"/>
      <c r="I117" s="256" t="s">
        <v>233</v>
      </c>
      <c r="J117" s="260">
        <f t="shared" si="10"/>
        <v>53</v>
      </c>
      <c r="K117" s="260" t="s">
        <v>532</v>
      </c>
      <c r="L117" s="260">
        <f t="shared" si="11"/>
        <v>25.3</v>
      </c>
      <c r="M117" s="260" t="s">
        <v>532</v>
      </c>
      <c r="N117" s="260">
        <f t="shared" si="12"/>
        <v>13.4</v>
      </c>
      <c r="O117" s="261" t="s">
        <v>532</v>
      </c>
      <c r="P117" s="3"/>
      <c r="Q117" s="50"/>
      <c r="R117" s="180"/>
      <c r="S117" s="181"/>
      <c r="T117" s="50"/>
      <c r="U117" s="182"/>
      <c r="V117" s="183"/>
      <c r="X117" s="182"/>
      <c r="Y117" s="183"/>
    </row>
    <row r="118" spans="1:25" ht="14" thickBot="1">
      <c r="A118" s="3"/>
      <c r="B118" s="5"/>
      <c r="C118" s="5"/>
      <c r="D118" s="3"/>
      <c r="E118" s="74"/>
      <c r="F118" s="74"/>
      <c r="G118" s="74"/>
      <c r="H118" s="3"/>
      <c r="I118" s="256" t="s">
        <v>234</v>
      </c>
      <c r="J118" s="260">
        <f t="shared" si="10"/>
        <v>3.6</v>
      </c>
      <c r="K118" s="260" t="s">
        <v>532</v>
      </c>
      <c r="L118" s="260">
        <f t="shared" si="11"/>
        <v>100</v>
      </c>
      <c r="M118" s="260" t="s">
        <v>532</v>
      </c>
      <c r="N118" s="260">
        <f t="shared" si="12"/>
        <v>3.6</v>
      </c>
      <c r="O118" s="261" t="s">
        <v>532</v>
      </c>
      <c r="P118" s="3"/>
      <c r="Q118" s="50"/>
      <c r="R118" s="180"/>
      <c r="S118" s="181"/>
      <c r="T118" s="50"/>
      <c r="U118" s="182"/>
      <c r="V118" s="183"/>
      <c r="X118" s="182"/>
      <c r="Y118" s="183"/>
    </row>
    <row r="119" spans="1:25" ht="14" thickBot="1">
      <c r="A119" s="3"/>
      <c r="B119" s="5"/>
      <c r="C119" s="5"/>
      <c r="D119" s="3"/>
      <c r="E119" s="74"/>
      <c r="F119" s="74"/>
      <c r="G119" s="74"/>
      <c r="H119" s="3"/>
      <c r="I119" s="256" t="s">
        <v>359</v>
      </c>
      <c r="J119" s="260">
        <f t="shared" si="10"/>
        <v>62.2</v>
      </c>
      <c r="K119" s="260" t="s">
        <v>532</v>
      </c>
      <c r="L119" s="260">
        <f t="shared" si="11"/>
        <v>28.6</v>
      </c>
      <c r="M119" s="260" t="s">
        <v>532</v>
      </c>
      <c r="N119" s="260">
        <f t="shared" si="12"/>
        <v>17.7</v>
      </c>
      <c r="O119" s="261" t="s">
        <v>532</v>
      </c>
      <c r="P119" s="3"/>
      <c r="Q119" s="50"/>
      <c r="R119" s="180"/>
      <c r="S119" s="181"/>
      <c r="T119" s="50"/>
      <c r="U119" s="182"/>
      <c r="V119" s="183"/>
      <c r="X119" s="182"/>
      <c r="Y119" s="183"/>
    </row>
    <row r="120" spans="1:25" ht="14" thickBot="1">
      <c r="A120" s="3"/>
      <c r="B120" s="5"/>
      <c r="C120" s="5"/>
      <c r="D120" s="3"/>
      <c r="E120" s="74"/>
      <c r="F120" s="74"/>
      <c r="G120" s="74"/>
      <c r="H120" s="3"/>
      <c r="I120" s="256" t="s">
        <v>360</v>
      </c>
      <c r="J120" s="260">
        <f t="shared" si="10"/>
        <v>283.7</v>
      </c>
      <c r="K120" s="260" t="s">
        <v>532</v>
      </c>
      <c r="L120" s="260">
        <f t="shared" si="11"/>
        <v>45.7</v>
      </c>
      <c r="M120" s="260" t="s">
        <v>532</v>
      </c>
      <c r="N120" s="260">
        <f t="shared" si="12"/>
        <v>129.6</v>
      </c>
      <c r="O120" s="261" t="s">
        <v>532</v>
      </c>
      <c r="P120" s="3"/>
      <c r="Q120" s="50"/>
      <c r="R120" s="180"/>
      <c r="S120" s="181"/>
      <c r="T120" s="50"/>
      <c r="U120" s="182"/>
      <c r="V120" s="183"/>
      <c r="X120" s="182"/>
      <c r="Y120" s="183"/>
    </row>
    <row r="121" spans="1:25" ht="14" thickBot="1">
      <c r="A121" s="3"/>
      <c r="B121" s="5"/>
      <c r="C121" s="5"/>
      <c r="D121" s="3"/>
      <c r="E121" s="74"/>
      <c r="F121" s="74"/>
      <c r="G121" s="74"/>
      <c r="H121" s="3"/>
      <c r="I121" s="256" t="s">
        <v>362</v>
      </c>
      <c r="J121" s="260">
        <f t="shared" si="10"/>
        <v>19.5</v>
      </c>
      <c r="K121" s="260" t="s">
        <v>532</v>
      </c>
      <c r="L121" s="260">
        <f t="shared" si="11"/>
        <v>100</v>
      </c>
      <c r="M121" s="260" t="s">
        <v>532</v>
      </c>
      <c r="N121" s="260">
        <f t="shared" si="12"/>
        <v>19.5</v>
      </c>
      <c r="O121" s="261" t="s">
        <v>532</v>
      </c>
      <c r="P121" s="3"/>
      <c r="Q121" s="50"/>
      <c r="R121" s="180"/>
      <c r="S121" s="181"/>
      <c r="T121" s="50"/>
      <c r="U121" s="182"/>
      <c r="V121" s="183"/>
      <c r="X121" s="182"/>
      <c r="Y121" s="183"/>
    </row>
    <row r="122" spans="1:25" ht="14" thickBot="1">
      <c r="A122" s="3"/>
      <c r="B122" s="5"/>
      <c r="C122" s="5"/>
      <c r="D122" s="3"/>
      <c r="E122" s="74"/>
      <c r="F122" s="74"/>
      <c r="G122" s="74"/>
      <c r="H122" s="3"/>
      <c r="I122" s="256" t="s">
        <v>97</v>
      </c>
      <c r="J122" s="260">
        <f t="shared" si="10"/>
        <v>229.2</v>
      </c>
      <c r="K122" s="260" t="s">
        <v>186</v>
      </c>
      <c r="L122" s="260">
        <f t="shared" si="11"/>
        <v>50.9</v>
      </c>
      <c r="M122" s="260" t="s">
        <v>186</v>
      </c>
      <c r="N122" s="260">
        <f t="shared" si="12"/>
        <v>115.4</v>
      </c>
      <c r="O122" s="261" t="s">
        <v>186</v>
      </c>
      <c r="P122" s="3"/>
      <c r="Q122" s="50"/>
      <c r="R122" s="180"/>
      <c r="S122" s="181"/>
      <c r="T122" s="50"/>
      <c r="U122" s="182"/>
      <c r="V122" s="183"/>
      <c r="X122" s="182"/>
      <c r="Y122" s="183"/>
    </row>
    <row r="123" spans="1:25" ht="14" thickBot="1">
      <c r="A123" s="3"/>
      <c r="B123" s="5"/>
      <c r="C123" s="5"/>
      <c r="D123" s="3"/>
      <c r="E123" s="74"/>
      <c r="F123" s="74"/>
      <c r="G123" s="74"/>
      <c r="H123" s="3"/>
      <c r="I123" s="256" t="s">
        <v>98</v>
      </c>
      <c r="J123" s="260">
        <f t="shared" si="10"/>
        <v>295</v>
      </c>
      <c r="K123" s="260" t="s">
        <v>532</v>
      </c>
      <c r="L123" s="260">
        <f t="shared" si="11"/>
        <v>35.5</v>
      </c>
      <c r="M123" s="260" t="s">
        <v>532</v>
      </c>
      <c r="N123" s="260">
        <f t="shared" si="12"/>
        <v>121.7</v>
      </c>
      <c r="O123" s="261" t="s">
        <v>532</v>
      </c>
      <c r="P123" s="3"/>
      <c r="Q123" s="50"/>
      <c r="R123" s="180"/>
      <c r="S123" s="181"/>
      <c r="T123" s="50"/>
      <c r="U123" s="182"/>
      <c r="V123" s="183"/>
      <c r="X123" s="182"/>
      <c r="Y123" s="183"/>
    </row>
    <row r="124" spans="1:25" ht="14" thickBot="1">
      <c r="A124" s="3"/>
      <c r="B124" s="5"/>
      <c r="C124" s="5"/>
      <c r="D124" s="3"/>
      <c r="E124" s="74"/>
      <c r="F124" s="74"/>
      <c r="G124" s="74"/>
      <c r="H124" s="3"/>
      <c r="I124" s="257" t="s">
        <v>235</v>
      </c>
      <c r="J124" s="262">
        <f t="shared" si="10"/>
        <v>363.5</v>
      </c>
      <c r="K124" s="262" t="s">
        <v>532</v>
      </c>
      <c r="L124" s="262">
        <f t="shared" si="11"/>
        <v>52.3</v>
      </c>
      <c r="M124" s="262" t="s">
        <v>532</v>
      </c>
      <c r="N124" s="262">
        <f t="shared" si="12"/>
        <v>190</v>
      </c>
      <c r="O124" s="263" t="s">
        <v>532</v>
      </c>
      <c r="P124" s="3"/>
      <c r="Q124" s="50"/>
      <c r="R124" s="180"/>
      <c r="S124" s="181"/>
      <c r="T124" s="50"/>
      <c r="U124" s="182"/>
      <c r="V124" s="183"/>
      <c r="X124" s="182"/>
      <c r="Y124" s="183"/>
    </row>
    <row r="125" spans="1:25" ht="14" thickBot="1">
      <c r="A125" s="3"/>
      <c r="B125" s="5"/>
      <c r="C125" s="5"/>
      <c r="D125" s="3"/>
      <c r="E125" s="74"/>
      <c r="F125" s="74"/>
      <c r="G125" s="74"/>
      <c r="H125" s="3"/>
      <c r="I125" s="346"/>
      <c r="J125" s="346"/>
      <c r="K125" s="346"/>
      <c r="L125" s="346"/>
      <c r="M125" s="346"/>
      <c r="N125" s="346"/>
      <c r="O125" s="346"/>
      <c r="P125" s="3"/>
      <c r="Q125" s="50"/>
      <c r="R125" s="180"/>
      <c r="S125" s="181"/>
      <c r="T125" s="50"/>
      <c r="U125" s="182"/>
      <c r="V125" s="183"/>
      <c r="X125" s="182"/>
      <c r="Y125" s="183"/>
    </row>
    <row r="126" spans="1:25" ht="14" thickBot="1">
      <c r="A126" s="293"/>
      <c r="B126" s="297"/>
      <c r="C126" s="297"/>
      <c r="D126" s="293"/>
      <c r="E126" s="292"/>
      <c r="F126" s="292"/>
      <c r="G126" s="292"/>
      <c r="H126" s="293"/>
      <c r="I126" s="347"/>
      <c r="J126" s="347"/>
      <c r="K126" s="347"/>
      <c r="L126" s="347"/>
      <c r="M126" s="347"/>
      <c r="N126" s="347"/>
      <c r="O126" s="347"/>
      <c r="P126" s="293"/>
      <c r="Q126" s="50"/>
      <c r="R126" s="180"/>
      <c r="S126" s="181"/>
      <c r="T126" s="50"/>
      <c r="U126" s="182"/>
      <c r="V126" s="183"/>
      <c r="X126" s="182"/>
      <c r="Y126" s="183"/>
    </row>
    <row r="127" spans="1:25" ht="14" thickBot="1">
      <c r="A127" s="3"/>
      <c r="B127" s="5"/>
      <c r="C127" s="5"/>
      <c r="D127" s="3"/>
      <c r="E127" s="74"/>
      <c r="F127" s="74"/>
      <c r="G127" s="74"/>
      <c r="H127" s="3"/>
      <c r="I127" s="346"/>
      <c r="J127" s="346"/>
      <c r="K127" s="346"/>
      <c r="L127" s="346"/>
      <c r="M127" s="346"/>
      <c r="N127" s="346"/>
      <c r="O127" s="346"/>
      <c r="P127" s="3"/>
      <c r="Q127" s="50"/>
      <c r="R127" s="180"/>
      <c r="S127" s="181"/>
      <c r="T127" s="50"/>
      <c r="U127" s="182"/>
      <c r="V127" s="183"/>
      <c r="X127" s="182"/>
      <c r="Y127" s="183"/>
    </row>
    <row r="128" spans="1:25" ht="14" thickBot="1">
      <c r="A128" s="19" t="s">
        <v>524</v>
      </c>
      <c r="B128" s="29" t="s">
        <v>501</v>
      </c>
      <c r="C128" s="29" t="s">
        <v>154</v>
      </c>
      <c r="D128" s="19" t="s">
        <v>530</v>
      </c>
      <c r="E128" s="22">
        <v>1992</v>
      </c>
      <c r="F128" s="22">
        <v>9</v>
      </c>
      <c r="G128" s="22">
        <v>5</v>
      </c>
      <c r="H128" s="19" t="s">
        <v>1363</v>
      </c>
      <c r="I128" s="19" t="s">
        <v>1217</v>
      </c>
      <c r="J128" s="22">
        <v>11</v>
      </c>
      <c r="K128" s="22">
        <v>1.5</v>
      </c>
      <c r="L128" s="22">
        <f t="shared" ref="L128:L159" si="13">ROUND((N128/J128)*100,1)</f>
        <v>98.2</v>
      </c>
      <c r="M128" s="22" t="s">
        <v>532</v>
      </c>
      <c r="N128" s="22">
        <v>10.8</v>
      </c>
      <c r="O128" s="22" t="s">
        <v>532</v>
      </c>
      <c r="P128" s="19" t="s">
        <v>531</v>
      </c>
      <c r="Q128" s="50"/>
      <c r="R128" s="180">
        <v>-15.85</v>
      </c>
      <c r="S128" s="181">
        <v>-60.52</v>
      </c>
      <c r="T128" s="50"/>
      <c r="U128" s="182">
        <v>-2.5</v>
      </c>
      <c r="V128" s="183">
        <v>-48.12</v>
      </c>
      <c r="X128" s="182">
        <v>-2.5</v>
      </c>
      <c r="Y128" s="183">
        <v>-48.12</v>
      </c>
    </row>
    <row r="129" spans="1:25" ht="14" thickBot="1">
      <c r="A129" s="19"/>
      <c r="B129" s="29"/>
      <c r="C129" s="29"/>
      <c r="D129" s="19"/>
      <c r="E129" s="22"/>
      <c r="F129" s="22"/>
      <c r="G129" s="22"/>
      <c r="H129" s="19"/>
      <c r="I129" s="19" t="s">
        <v>169</v>
      </c>
      <c r="J129" s="22">
        <v>12.7</v>
      </c>
      <c r="K129" s="22">
        <v>1.3</v>
      </c>
      <c r="L129" s="22">
        <f t="shared" si="13"/>
        <v>74</v>
      </c>
      <c r="M129" s="22" t="s">
        <v>265</v>
      </c>
      <c r="N129" s="22">
        <v>9.4</v>
      </c>
      <c r="O129" s="22" t="s">
        <v>265</v>
      </c>
      <c r="P129" s="19" t="s">
        <v>531</v>
      </c>
      <c r="Q129" s="50"/>
      <c r="R129" s="180"/>
      <c r="S129" s="181"/>
      <c r="T129" s="50"/>
      <c r="U129" s="182"/>
      <c r="V129" s="183"/>
      <c r="X129" s="182"/>
      <c r="Y129" s="183"/>
    </row>
    <row r="130" spans="1:25" ht="14" thickBot="1">
      <c r="A130" s="19"/>
      <c r="B130" s="29"/>
      <c r="C130" s="29"/>
      <c r="D130" s="19"/>
      <c r="E130" s="22"/>
      <c r="F130" s="22"/>
      <c r="G130" s="22"/>
      <c r="H130" s="19"/>
      <c r="I130" s="19" t="s">
        <v>160</v>
      </c>
      <c r="J130" s="22">
        <v>23.4</v>
      </c>
      <c r="K130" s="22">
        <v>2.1</v>
      </c>
      <c r="L130" s="22">
        <f t="shared" si="13"/>
        <v>85.5</v>
      </c>
      <c r="M130" s="22" t="s">
        <v>532</v>
      </c>
      <c r="N130" s="22">
        <v>20</v>
      </c>
      <c r="O130" s="22" t="s">
        <v>532</v>
      </c>
      <c r="P130" s="19" t="s">
        <v>531</v>
      </c>
      <c r="Q130" s="50"/>
      <c r="R130" s="180"/>
      <c r="S130" s="181"/>
      <c r="T130" s="50"/>
      <c r="U130" s="182"/>
      <c r="V130" s="183"/>
      <c r="X130" s="182"/>
      <c r="Y130" s="183"/>
    </row>
    <row r="131" spans="1:25" ht="14" thickBot="1">
      <c r="A131" s="19"/>
      <c r="B131" s="29"/>
      <c r="C131" s="29"/>
      <c r="D131" s="19"/>
      <c r="E131" s="22"/>
      <c r="F131" s="22"/>
      <c r="G131" s="22"/>
      <c r="H131" s="19"/>
      <c r="I131" s="19" t="s">
        <v>161</v>
      </c>
      <c r="J131" s="22">
        <v>0.8</v>
      </c>
      <c r="K131" s="22">
        <v>0.4</v>
      </c>
      <c r="L131" s="22">
        <f t="shared" si="13"/>
        <v>87.5</v>
      </c>
      <c r="M131" s="22" t="s">
        <v>265</v>
      </c>
      <c r="N131" s="22">
        <v>0.7</v>
      </c>
      <c r="O131" s="22" t="s">
        <v>265</v>
      </c>
      <c r="P131" s="19" t="s">
        <v>531</v>
      </c>
      <c r="Q131" s="50"/>
      <c r="R131" s="180"/>
      <c r="S131" s="181"/>
      <c r="T131" s="50"/>
      <c r="U131" s="182"/>
      <c r="V131" s="183"/>
      <c r="X131" s="182"/>
      <c r="Y131" s="183"/>
    </row>
    <row r="132" spans="1:25" ht="14" thickBot="1">
      <c r="A132" s="19"/>
      <c r="B132" s="29"/>
      <c r="C132" s="29"/>
      <c r="D132" s="19"/>
      <c r="E132" s="22"/>
      <c r="F132" s="22"/>
      <c r="G132" s="22"/>
      <c r="H132" s="19"/>
      <c r="I132" s="19" t="s">
        <v>162</v>
      </c>
      <c r="J132" s="22">
        <v>6.4</v>
      </c>
      <c r="K132" s="22">
        <v>0.8</v>
      </c>
      <c r="L132" s="22">
        <f t="shared" si="13"/>
        <v>98.4</v>
      </c>
      <c r="M132" s="22" t="s">
        <v>265</v>
      </c>
      <c r="N132" s="22">
        <v>6.3</v>
      </c>
      <c r="O132" s="22" t="s">
        <v>265</v>
      </c>
      <c r="P132" s="19" t="s">
        <v>531</v>
      </c>
      <c r="Q132" s="50"/>
      <c r="R132" s="180"/>
      <c r="S132" s="181"/>
      <c r="T132" s="50"/>
      <c r="U132" s="182"/>
      <c r="V132" s="183"/>
      <c r="X132" s="182"/>
      <c r="Y132" s="183"/>
    </row>
    <row r="133" spans="1:25" ht="14" thickBot="1">
      <c r="A133" s="19"/>
      <c r="B133" s="29"/>
      <c r="C133" s="29"/>
      <c r="D133" s="19"/>
      <c r="E133" s="22"/>
      <c r="F133" s="22"/>
      <c r="G133" s="22"/>
      <c r="H133" s="19"/>
      <c r="I133" s="19" t="s">
        <v>163</v>
      </c>
      <c r="J133" s="22">
        <v>5.4</v>
      </c>
      <c r="K133" s="22">
        <v>0.7</v>
      </c>
      <c r="L133" s="22">
        <f t="shared" si="13"/>
        <v>98.1</v>
      </c>
      <c r="M133" s="22" t="s">
        <v>532</v>
      </c>
      <c r="N133" s="22">
        <v>5.3</v>
      </c>
      <c r="O133" s="22" t="s">
        <v>532</v>
      </c>
      <c r="P133" s="19" t="s">
        <v>531</v>
      </c>
      <c r="Q133" s="50"/>
      <c r="R133" s="180"/>
      <c r="S133" s="181"/>
      <c r="T133" s="50"/>
      <c r="U133" s="182"/>
      <c r="V133" s="183"/>
      <c r="X133" s="182"/>
      <c r="Y133" s="183"/>
    </row>
    <row r="134" spans="1:25" ht="14" thickBot="1">
      <c r="A134" s="19"/>
      <c r="B134" s="29"/>
      <c r="C134" s="29"/>
      <c r="D134" s="19"/>
      <c r="E134" s="22"/>
      <c r="F134" s="22"/>
      <c r="G134" s="22"/>
      <c r="H134" s="19"/>
      <c r="I134" s="19" t="s">
        <v>424</v>
      </c>
      <c r="J134" s="22">
        <v>15.7</v>
      </c>
      <c r="K134" s="22">
        <v>2</v>
      </c>
      <c r="L134" s="22">
        <f t="shared" si="13"/>
        <v>92.4</v>
      </c>
      <c r="M134" s="22" t="s">
        <v>532</v>
      </c>
      <c r="N134" s="22">
        <v>14.5</v>
      </c>
      <c r="O134" s="22" t="s">
        <v>532</v>
      </c>
      <c r="P134" s="19" t="s">
        <v>531</v>
      </c>
      <c r="Q134" s="50"/>
      <c r="R134" s="180"/>
      <c r="S134" s="181"/>
      <c r="T134" s="50"/>
      <c r="U134" s="182"/>
      <c r="V134" s="183"/>
      <c r="X134" s="182"/>
      <c r="Y134" s="183"/>
    </row>
    <row r="135" spans="1:25" ht="14" thickBot="1">
      <c r="A135" s="19"/>
      <c r="B135" s="29"/>
      <c r="C135" s="29"/>
      <c r="D135" s="19"/>
      <c r="E135" s="22"/>
      <c r="F135" s="22"/>
      <c r="G135" s="22"/>
      <c r="H135" s="19"/>
      <c r="I135" s="19" t="s">
        <v>425</v>
      </c>
      <c r="J135" s="22">
        <v>35.9</v>
      </c>
      <c r="K135" s="22">
        <v>3.9</v>
      </c>
      <c r="L135" s="22">
        <f t="shared" si="13"/>
        <v>68.8</v>
      </c>
      <c r="M135" s="22" t="s">
        <v>532</v>
      </c>
      <c r="N135" s="22">
        <f>35.9-11.2</f>
        <v>24.7</v>
      </c>
      <c r="O135" s="22" t="s">
        <v>532</v>
      </c>
      <c r="P135" s="19" t="s">
        <v>531</v>
      </c>
      <c r="Q135" s="50"/>
      <c r="R135" s="180"/>
      <c r="S135" s="181"/>
      <c r="T135" s="50"/>
      <c r="U135" s="182"/>
      <c r="V135" s="183"/>
      <c r="X135" s="182"/>
      <c r="Y135" s="183"/>
    </row>
    <row r="136" spans="1:25" ht="14" thickBot="1">
      <c r="A136" s="19"/>
      <c r="B136" s="29"/>
      <c r="C136" s="29"/>
      <c r="D136" s="19"/>
      <c r="E136" s="22"/>
      <c r="F136" s="22"/>
      <c r="G136" s="22"/>
      <c r="H136" s="19"/>
      <c r="I136" s="19" t="s">
        <v>172</v>
      </c>
      <c r="J136" s="22">
        <v>65.5</v>
      </c>
      <c r="K136" s="22">
        <v>7.4</v>
      </c>
      <c r="L136" s="22">
        <f t="shared" si="13"/>
        <v>30.5</v>
      </c>
      <c r="M136" s="22" t="s">
        <v>265</v>
      </c>
      <c r="N136" s="22">
        <v>20</v>
      </c>
      <c r="O136" s="22" t="s">
        <v>265</v>
      </c>
      <c r="P136" s="19" t="s">
        <v>531</v>
      </c>
      <c r="Q136" s="50"/>
      <c r="R136" s="180"/>
      <c r="S136" s="181"/>
      <c r="T136" s="50"/>
      <c r="U136" s="182"/>
      <c r="V136" s="183"/>
      <c r="X136" s="182"/>
      <c r="Y136" s="183"/>
    </row>
    <row r="137" spans="1:25" ht="14" thickBot="1">
      <c r="A137" s="19"/>
      <c r="B137" s="29"/>
      <c r="C137" s="29"/>
      <c r="D137" s="19"/>
      <c r="E137" s="22"/>
      <c r="F137" s="22"/>
      <c r="G137" s="22"/>
      <c r="H137" s="19"/>
      <c r="I137" s="19" t="s">
        <v>173</v>
      </c>
      <c r="J137" s="22">
        <v>4.5</v>
      </c>
      <c r="K137" s="22">
        <v>1.4</v>
      </c>
      <c r="L137" s="22">
        <f t="shared" si="13"/>
        <v>80</v>
      </c>
      <c r="M137" s="22" t="s">
        <v>265</v>
      </c>
      <c r="N137" s="22">
        <v>3.6</v>
      </c>
      <c r="O137" s="22" t="s">
        <v>265</v>
      </c>
      <c r="P137" s="19" t="s">
        <v>531</v>
      </c>
      <c r="Q137" s="50"/>
      <c r="R137" s="180"/>
      <c r="S137" s="181"/>
      <c r="T137" s="50"/>
      <c r="U137" s="182"/>
      <c r="V137" s="183"/>
      <c r="X137" s="182"/>
      <c r="Y137" s="183"/>
    </row>
    <row r="138" spans="1:25" ht="14" thickBot="1">
      <c r="A138" s="19"/>
      <c r="B138" s="29"/>
      <c r="C138" s="29"/>
      <c r="D138" s="19"/>
      <c r="E138" s="22"/>
      <c r="F138" s="22"/>
      <c r="G138" s="22"/>
      <c r="H138" s="19"/>
      <c r="I138" s="19" t="s">
        <v>174</v>
      </c>
      <c r="J138" s="22">
        <v>70</v>
      </c>
      <c r="K138" s="22">
        <v>7.4</v>
      </c>
      <c r="L138" s="22">
        <f t="shared" si="13"/>
        <v>34.299999999999997</v>
      </c>
      <c r="M138" s="22" t="s">
        <v>532</v>
      </c>
      <c r="N138" s="22">
        <v>24</v>
      </c>
      <c r="O138" s="22" t="s">
        <v>532</v>
      </c>
      <c r="P138" s="19" t="s">
        <v>531</v>
      </c>
      <c r="Q138" s="50"/>
      <c r="R138" s="180"/>
      <c r="S138" s="181"/>
      <c r="T138" s="50"/>
      <c r="U138" s="182"/>
      <c r="V138" s="183"/>
      <c r="X138" s="182"/>
      <c r="Y138" s="183"/>
    </row>
    <row r="139" spans="1:25" ht="14" thickBot="1">
      <c r="A139" s="19"/>
      <c r="B139" s="29"/>
      <c r="C139" s="29"/>
      <c r="D139" s="19"/>
      <c r="E139" s="22"/>
      <c r="F139" s="22"/>
      <c r="G139" s="22"/>
      <c r="H139" s="19"/>
      <c r="I139" s="19" t="s">
        <v>229</v>
      </c>
      <c r="J139" s="22">
        <v>124.5</v>
      </c>
      <c r="K139" s="22">
        <v>18.3</v>
      </c>
      <c r="L139" s="22">
        <f t="shared" si="13"/>
        <v>17.3</v>
      </c>
      <c r="M139" s="22" t="s">
        <v>532</v>
      </c>
      <c r="N139" s="22">
        <f>124.5-102.9</f>
        <v>21.599999999999994</v>
      </c>
      <c r="O139" s="22" t="s">
        <v>532</v>
      </c>
      <c r="P139" s="19" t="s">
        <v>531</v>
      </c>
      <c r="Q139" s="50"/>
      <c r="R139" s="180"/>
      <c r="S139" s="181"/>
      <c r="T139" s="50"/>
      <c r="U139" s="182"/>
      <c r="V139" s="183"/>
      <c r="X139" s="182"/>
      <c r="Y139" s="183"/>
    </row>
    <row r="140" spans="1:25" ht="14" thickBot="1">
      <c r="A140" s="19"/>
      <c r="B140" s="29"/>
      <c r="C140" s="29"/>
      <c r="D140" s="19"/>
      <c r="E140" s="22"/>
      <c r="F140" s="22"/>
      <c r="G140" s="22"/>
      <c r="H140" s="19"/>
      <c r="I140" s="19" t="s">
        <v>230</v>
      </c>
      <c r="J140" s="22">
        <v>8.1</v>
      </c>
      <c r="K140" s="22">
        <v>4.8</v>
      </c>
      <c r="L140" s="22">
        <f t="shared" si="13"/>
        <v>100</v>
      </c>
      <c r="M140" s="22" t="s">
        <v>265</v>
      </c>
      <c r="N140" s="22">
        <v>8.1</v>
      </c>
      <c r="O140" s="22" t="s">
        <v>265</v>
      </c>
      <c r="P140" s="19" t="s">
        <v>531</v>
      </c>
      <c r="Q140" s="50"/>
      <c r="R140" s="180"/>
      <c r="S140" s="181"/>
      <c r="T140" s="50"/>
      <c r="U140" s="182"/>
      <c r="V140" s="183"/>
      <c r="X140" s="182"/>
      <c r="Y140" s="183"/>
    </row>
    <row r="141" spans="1:25" ht="14" thickBot="1">
      <c r="A141" s="19"/>
      <c r="B141" s="29"/>
      <c r="C141" s="29"/>
      <c r="D141" s="19"/>
      <c r="E141" s="22"/>
      <c r="F141" s="22"/>
      <c r="G141" s="22"/>
      <c r="H141" s="19"/>
      <c r="I141" s="19" t="s">
        <v>237</v>
      </c>
      <c r="J141" s="22">
        <v>132.69999999999999</v>
      </c>
      <c r="K141" s="22">
        <v>17.8</v>
      </c>
      <c r="L141" s="22">
        <f t="shared" si="13"/>
        <v>22.5</v>
      </c>
      <c r="M141" s="22" t="s">
        <v>265</v>
      </c>
      <c r="N141" s="22">
        <f>132.7-102.9</f>
        <v>29.799999999999983</v>
      </c>
      <c r="O141" s="22" t="s">
        <v>265</v>
      </c>
      <c r="P141" s="19" t="s">
        <v>531</v>
      </c>
      <c r="Q141" s="50"/>
      <c r="R141" s="180"/>
      <c r="S141" s="181"/>
      <c r="T141" s="50"/>
      <c r="U141" s="182"/>
      <c r="V141" s="183"/>
      <c r="X141" s="182"/>
      <c r="Y141" s="183"/>
    </row>
    <row r="142" spans="1:25" ht="14" thickBot="1">
      <c r="A142" s="19"/>
      <c r="B142" s="29"/>
      <c r="C142" s="29"/>
      <c r="D142" s="19"/>
      <c r="E142" s="22"/>
      <c r="F142" s="22"/>
      <c r="G142" s="22"/>
      <c r="H142" s="19"/>
      <c r="I142" s="19" t="s">
        <v>238</v>
      </c>
      <c r="J142" s="22">
        <v>259.89999999999998</v>
      </c>
      <c r="K142" s="22">
        <v>20.2</v>
      </c>
      <c r="L142" s="22">
        <f t="shared" si="13"/>
        <v>37.9</v>
      </c>
      <c r="M142" s="22" t="s">
        <v>265</v>
      </c>
      <c r="N142" s="22">
        <f>259.9-161.3</f>
        <v>98.599999999999966</v>
      </c>
      <c r="O142" s="22" t="s">
        <v>265</v>
      </c>
      <c r="P142" s="19" t="s">
        <v>531</v>
      </c>
      <c r="Q142" s="50"/>
      <c r="R142" s="180"/>
      <c r="S142" s="181"/>
      <c r="T142" s="50"/>
      <c r="U142" s="182"/>
      <c r="V142" s="183"/>
      <c r="X142" s="182"/>
      <c r="Y142" s="183"/>
    </row>
    <row r="143" spans="1:25" ht="14" thickBot="1">
      <c r="A143" s="19"/>
      <c r="B143" s="29"/>
      <c r="C143" s="29"/>
      <c r="D143" s="19"/>
      <c r="E143" s="22"/>
      <c r="F143" s="22"/>
      <c r="G143" s="22"/>
      <c r="H143" s="19"/>
      <c r="I143" s="19" t="s">
        <v>368</v>
      </c>
      <c r="J143" s="22">
        <v>290.2</v>
      </c>
      <c r="K143" s="22">
        <v>20.399999999999999</v>
      </c>
      <c r="L143" s="22">
        <f t="shared" si="13"/>
        <v>43.1</v>
      </c>
      <c r="M143" s="22" t="s">
        <v>304</v>
      </c>
      <c r="N143" s="22">
        <f>290.2-165.1</f>
        <v>125.1</v>
      </c>
      <c r="O143" s="22" t="s">
        <v>304</v>
      </c>
      <c r="P143" s="19" t="s">
        <v>531</v>
      </c>
      <c r="Q143" s="50"/>
      <c r="R143" s="180"/>
      <c r="S143" s="181"/>
      <c r="T143" s="50"/>
      <c r="U143" s="182"/>
      <c r="V143" s="183"/>
      <c r="X143" s="182"/>
      <c r="Y143" s="183"/>
    </row>
    <row r="144" spans="1:25" ht="14" thickBot="1">
      <c r="A144" s="19" t="s">
        <v>524</v>
      </c>
      <c r="B144" s="29" t="s">
        <v>501</v>
      </c>
      <c r="C144" s="29" t="s">
        <v>154</v>
      </c>
      <c r="D144" s="19" t="s">
        <v>1492</v>
      </c>
      <c r="E144" s="22">
        <v>1992</v>
      </c>
      <c r="F144" s="22">
        <v>9</v>
      </c>
      <c r="G144" s="22">
        <v>23</v>
      </c>
      <c r="H144" s="19" t="s">
        <v>1363</v>
      </c>
      <c r="I144" s="19" t="s">
        <v>1217</v>
      </c>
      <c r="J144" s="45">
        <v>11.8</v>
      </c>
      <c r="K144" s="45">
        <v>1.2</v>
      </c>
      <c r="L144" s="22">
        <f t="shared" si="13"/>
        <v>99.2</v>
      </c>
      <c r="M144" s="45" t="s">
        <v>532</v>
      </c>
      <c r="N144" s="45">
        <v>11.7</v>
      </c>
      <c r="O144" s="45" t="s">
        <v>532</v>
      </c>
      <c r="P144" s="19" t="s">
        <v>529</v>
      </c>
      <c r="Q144" s="50"/>
      <c r="R144" s="180">
        <v>-15.85</v>
      </c>
      <c r="S144" s="181">
        <v>-60.52</v>
      </c>
      <c r="T144" s="50"/>
      <c r="U144" s="185">
        <v>-5.35</v>
      </c>
      <c r="V144" s="186">
        <v>-49.15</v>
      </c>
      <c r="X144" s="185">
        <v>-5.35</v>
      </c>
      <c r="Y144" s="186">
        <v>-49.15</v>
      </c>
    </row>
    <row r="145" spans="1:25" ht="14" thickBot="1">
      <c r="A145" s="19"/>
      <c r="B145" s="29"/>
      <c r="C145" s="29"/>
      <c r="D145" s="19"/>
      <c r="E145" s="22"/>
      <c r="F145" s="22"/>
      <c r="G145" s="22"/>
      <c r="H145" s="19"/>
      <c r="I145" s="19" t="s">
        <v>169</v>
      </c>
      <c r="J145" s="22">
        <v>3</v>
      </c>
      <c r="K145" s="22">
        <v>0.7</v>
      </c>
      <c r="L145" s="22">
        <f t="shared" si="13"/>
        <v>100</v>
      </c>
      <c r="M145" s="22" t="s">
        <v>532</v>
      </c>
      <c r="N145" s="22">
        <v>3</v>
      </c>
      <c r="O145" s="22" t="s">
        <v>532</v>
      </c>
      <c r="P145" s="19" t="s">
        <v>529</v>
      </c>
      <c r="Q145" s="50"/>
      <c r="R145" s="180"/>
      <c r="S145" s="181"/>
      <c r="T145" s="50"/>
      <c r="U145" s="182"/>
      <c r="V145" s="183"/>
      <c r="X145" s="182"/>
      <c r="Y145" s="183"/>
    </row>
    <row r="146" spans="1:25" ht="14" thickBot="1">
      <c r="A146" s="19"/>
      <c r="B146" s="29"/>
      <c r="C146" s="29"/>
      <c r="D146" s="19"/>
      <c r="E146" s="22"/>
      <c r="F146" s="22"/>
      <c r="G146" s="22"/>
      <c r="H146" s="19"/>
      <c r="I146" s="19" t="s">
        <v>160</v>
      </c>
      <c r="J146" s="22">
        <v>14.8</v>
      </c>
      <c r="K146" s="22">
        <v>1.3</v>
      </c>
      <c r="L146" s="22">
        <f t="shared" si="13"/>
        <v>99.3</v>
      </c>
      <c r="M146" s="22" t="s">
        <v>532</v>
      </c>
      <c r="N146" s="22">
        <v>14.7</v>
      </c>
      <c r="O146" s="22" t="s">
        <v>532</v>
      </c>
      <c r="P146" s="19" t="s">
        <v>529</v>
      </c>
      <c r="Q146" s="50"/>
      <c r="R146" s="180"/>
      <c r="S146" s="181"/>
      <c r="T146" s="50"/>
      <c r="U146" s="182"/>
      <c r="V146" s="183"/>
      <c r="X146" s="182"/>
      <c r="Y146" s="183"/>
    </row>
    <row r="147" spans="1:25" ht="14" thickBot="1">
      <c r="A147" s="19"/>
      <c r="B147" s="29"/>
      <c r="C147" s="29"/>
      <c r="D147" s="19"/>
      <c r="E147" s="22"/>
      <c r="F147" s="22"/>
      <c r="G147" s="22"/>
      <c r="H147" s="19"/>
      <c r="I147" s="19" t="s">
        <v>161</v>
      </c>
      <c r="J147" s="22">
        <v>0.8</v>
      </c>
      <c r="K147" s="22">
        <v>0.5</v>
      </c>
      <c r="L147" s="22">
        <f t="shared" si="13"/>
        <v>100</v>
      </c>
      <c r="M147" s="22" t="s">
        <v>532</v>
      </c>
      <c r="N147" s="22">
        <v>0.8</v>
      </c>
      <c r="O147" s="22" t="s">
        <v>532</v>
      </c>
      <c r="P147" s="19" t="s">
        <v>529</v>
      </c>
      <c r="Q147" s="50"/>
      <c r="R147" s="180"/>
      <c r="S147" s="181"/>
      <c r="T147" s="50"/>
      <c r="U147" s="182"/>
      <c r="V147" s="183"/>
      <c r="X147" s="182"/>
      <c r="Y147" s="183"/>
    </row>
    <row r="148" spans="1:25" ht="14" thickBot="1">
      <c r="A148" s="19"/>
      <c r="B148" s="29"/>
      <c r="C148" s="29"/>
      <c r="D148" s="19"/>
      <c r="E148" s="22"/>
      <c r="F148" s="22"/>
      <c r="G148" s="22"/>
      <c r="H148" s="19"/>
      <c r="I148" s="19" t="s">
        <v>162</v>
      </c>
      <c r="J148" s="22">
        <v>9</v>
      </c>
      <c r="K148" s="22">
        <v>1</v>
      </c>
      <c r="L148" s="22">
        <f t="shared" si="13"/>
        <v>98.9</v>
      </c>
      <c r="M148" s="22" t="s">
        <v>532</v>
      </c>
      <c r="N148" s="22">
        <v>8.9</v>
      </c>
      <c r="O148" s="22" t="s">
        <v>532</v>
      </c>
      <c r="P148" s="19" t="s">
        <v>529</v>
      </c>
      <c r="Q148" s="50"/>
      <c r="R148" s="180"/>
      <c r="S148" s="181"/>
      <c r="T148" s="50"/>
      <c r="U148" s="182"/>
      <c r="V148" s="183"/>
      <c r="X148" s="182"/>
      <c r="Y148" s="183"/>
    </row>
    <row r="149" spans="1:25" ht="14" thickBot="1">
      <c r="A149" s="19"/>
      <c r="B149" s="29"/>
      <c r="C149" s="29"/>
      <c r="D149" s="19"/>
      <c r="E149" s="22"/>
      <c r="F149" s="22"/>
      <c r="G149" s="22"/>
      <c r="H149" s="19"/>
      <c r="I149" s="19" t="s">
        <v>163</v>
      </c>
      <c r="J149" s="22">
        <v>7.6</v>
      </c>
      <c r="K149" s="22">
        <v>0.8</v>
      </c>
      <c r="L149" s="22">
        <f t="shared" si="13"/>
        <v>98.7</v>
      </c>
      <c r="M149" s="22" t="s">
        <v>532</v>
      </c>
      <c r="N149" s="22">
        <v>7.5</v>
      </c>
      <c r="O149" s="22" t="s">
        <v>532</v>
      </c>
      <c r="P149" s="19" t="s">
        <v>529</v>
      </c>
      <c r="Q149" s="50"/>
      <c r="R149" s="180"/>
      <c r="S149" s="181"/>
      <c r="T149" s="50"/>
      <c r="U149" s="182"/>
      <c r="V149" s="183"/>
      <c r="X149" s="182"/>
      <c r="Y149" s="183"/>
    </row>
    <row r="150" spans="1:25" ht="14" thickBot="1">
      <c r="A150" s="19"/>
      <c r="B150" s="29"/>
      <c r="C150" s="29"/>
      <c r="D150" s="19"/>
      <c r="E150" s="22"/>
      <c r="F150" s="22"/>
      <c r="G150" s="22"/>
      <c r="H150" s="19"/>
      <c r="I150" s="19" t="s">
        <v>424</v>
      </c>
      <c r="J150" s="22">
        <v>20.100000000000001</v>
      </c>
      <c r="K150" s="22">
        <v>0.4</v>
      </c>
      <c r="L150" s="22">
        <f t="shared" si="13"/>
        <v>95</v>
      </c>
      <c r="M150" s="22" t="s">
        <v>532</v>
      </c>
      <c r="N150" s="22">
        <v>19.100000000000001</v>
      </c>
      <c r="O150" s="22" t="s">
        <v>532</v>
      </c>
      <c r="P150" s="19" t="s">
        <v>529</v>
      </c>
      <c r="Q150" s="50"/>
      <c r="R150" s="180"/>
      <c r="S150" s="181"/>
      <c r="T150" s="50"/>
      <c r="U150" s="182"/>
      <c r="V150" s="183"/>
      <c r="X150" s="182"/>
      <c r="Y150" s="183"/>
    </row>
    <row r="151" spans="1:25" ht="14" thickBot="1">
      <c r="A151" s="19"/>
      <c r="B151" s="29"/>
      <c r="C151" s="29"/>
      <c r="D151" s="19"/>
      <c r="E151" s="22"/>
      <c r="F151" s="22"/>
      <c r="G151" s="22"/>
      <c r="H151" s="19"/>
      <c r="I151" s="19" t="s">
        <v>425</v>
      </c>
      <c r="J151" s="22">
        <v>54.6</v>
      </c>
      <c r="K151" s="22">
        <v>6.9</v>
      </c>
      <c r="L151" s="22">
        <f t="shared" si="13"/>
        <v>86.3</v>
      </c>
      <c r="M151" s="22" t="s">
        <v>265</v>
      </c>
      <c r="N151" s="22">
        <f>54.6-7.5</f>
        <v>47.1</v>
      </c>
      <c r="O151" s="22" t="s">
        <v>265</v>
      </c>
      <c r="P151" s="19" t="s">
        <v>529</v>
      </c>
      <c r="Q151" s="50"/>
      <c r="R151" s="180"/>
      <c r="S151" s="181"/>
      <c r="T151" s="50"/>
      <c r="U151" s="182"/>
      <c r="V151" s="183"/>
      <c r="X151" s="182"/>
      <c r="Y151" s="183"/>
    </row>
    <row r="152" spans="1:25" ht="14" thickBot="1">
      <c r="A152" s="19"/>
      <c r="B152" s="29"/>
      <c r="C152" s="29"/>
      <c r="D152" s="19"/>
      <c r="E152" s="22"/>
      <c r="F152" s="22"/>
      <c r="G152" s="22"/>
      <c r="H152" s="19"/>
      <c r="I152" s="19" t="s">
        <v>172</v>
      </c>
      <c r="J152" s="22">
        <v>93.4</v>
      </c>
      <c r="K152" s="22">
        <v>9.6</v>
      </c>
      <c r="L152" s="22">
        <f t="shared" si="13"/>
        <v>51.5</v>
      </c>
      <c r="M152" s="22" t="s">
        <v>265</v>
      </c>
      <c r="N152" s="22">
        <f>93.4-45.3</f>
        <v>48.100000000000009</v>
      </c>
      <c r="O152" s="22" t="s">
        <v>265</v>
      </c>
      <c r="P152" s="19" t="s">
        <v>529</v>
      </c>
      <c r="Q152" s="50"/>
      <c r="R152" s="180"/>
      <c r="S152" s="181"/>
      <c r="T152" s="50"/>
      <c r="U152" s="182"/>
      <c r="V152" s="183"/>
      <c r="X152" s="182"/>
      <c r="Y152" s="183"/>
    </row>
    <row r="153" spans="1:25" ht="14" thickBot="1">
      <c r="A153" s="19"/>
      <c r="B153" s="29"/>
      <c r="C153" s="29"/>
      <c r="D153" s="19"/>
      <c r="E153" s="22"/>
      <c r="F153" s="22"/>
      <c r="G153" s="22"/>
      <c r="H153" s="19"/>
      <c r="I153" s="19" t="s">
        <v>173</v>
      </c>
      <c r="J153" s="22">
        <v>3.8</v>
      </c>
      <c r="K153" s="22">
        <v>1</v>
      </c>
      <c r="L153" s="22">
        <f t="shared" si="13"/>
        <v>76.3</v>
      </c>
      <c r="M153" s="22" t="s">
        <v>532</v>
      </c>
      <c r="N153" s="22">
        <v>2.9</v>
      </c>
      <c r="O153" s="22" t="s">
        <v>532</v>
      </c>
      <c r="P153" s="19" t="s">
        <v>529</v>
      </c>
      <c r="Q153" s="50"/>
      <c r="R153" s="180"/>
      <c r="S153" s="181"/>
      <c r="T153" s="50"/>
      <c r="U153" s="182"/>
      <c r="V153" s="183"/>
      <c r="X153" s="182"/>
      <c r="Y153" s="183"/>
    </row>
    <row r="154" spans="1:25" ht="14" thickBot="1">
      <c r="A154" s="19"/>
      <c r="B154" s="29"/>
      <c r="C154" s="29"/>
      <c r="D154" s="19"/>
      <c r="E154" s="22"/>
      <c r="F154" s="22"/>
      <c r="G154" s="22"/>
      <c r="H154" s="19"/>
      <c r="I154" s="19" t="s">
        <v>174</v>
      </c>
      <c r="J154" s="22">
        <v>97.2</v>
      </c>
      <c r="K154" s="22">
        <v>9.6</v>
      </c>
      <c r="L154" s="22">
        <f t="shared" si="13"/>
        <v>52.5</v>
      </c>
      <c r="M154" s="22" t="s">
        <v>265</v>
      </c>
      <c r="N154" s="22">
        <f>97.2-46.2</f>
        <v>51</v>
      </c>
      <c r="O154" s="22" t="s">
        <v>265</v>
      </c>
      <c r="P154" s="19" t="s">
        <v>529</v>
      </c>
      <c r="Q154" s="50"/>
      <c r="R154" s="180"/>
      <c r="S154" s="181"/>
      <c r="T154" s="50"/>
      <c r="U154" s="182"/>
      <c r="V154" s="183"/>
      <c r="X154" s="182"/>
      <c r="Y154" s="183"/>
    </row>
    <row r="155" spans="1:25" ht="14" thickBot="1">
      <c r="A155" s="19"/>
      <c r="B155" s="29"/>
      <c r="C155" s="29"/>
      <c r="D155" s="19"/>
      <c r="E155" s="22"/>
      <c r="F155" s="22"/>
      <c r="G155" s="22"/>
      <c r="H155" s="19"/>
      <c r="I155" s="19" t="s">
        <v>229</v>
      </c>
      <c r="J155" s="22">
        <v>144.69999999999999</v>
      </c>
      <c r="K155" s="22">
        <v>27.8</v>
      </c>
      <c r="L155" s="22">
        <f t="shared" si="13"/>
        <v>36.799999999999997</v>
      </c>
      <c r="M155" s="22" t="s">
        <v>532</v>
      </c>
      <c r="N155" s="22">
        <f>144.7-91.5</f>
        <v>53.199999999999989</v>
      </c>
      <c r="O155" s="22" t="s">
        <v>532</v>
      </c>
      <c r="P155" s="19" t="s">
        <v>529</v>
      </c>
      <c r="Q155" s="50"/>
      <c r="R155" s="180"/>
      <c r="S155" s="181"/>
      <c r="T155" s="50"/>
      <c r="U155" s="182"/>
      <c r="V155" s="183"/>
      <c r="X155" s="182"/>
      <c r="Y155" s="183"/>
    </row>
    <row r="156" spans="1:25" ht="14" thickBot="1">
      <c r="A156" s="19"/>
      <c r="B156" s="29"/>
      <c r="C156" s="29"/>
      <c r="D156" s="19"/>
      <c r="E156" s="22"/>
      <c r="F156" s="22"/>
      <c r="G156" s="22"/>
      <c r="H156" s="19"/>
      <c r="I156" s="19" t="s">
        <v>230</v>
      </c>
      <c r="J156" s="22">
        <v>13.2</v>
      </c>
      <c r="K156" s="22">
        <v>4.4000000000000004</v>
      </c>
      <c r="L156" s="22">
        <f t="shared" si="13"/>
        <v>31.1</v>
      </c>
      <c r="M156" s="22" t="s">
        <v>532</v>
      </c>
      <c r="N156" s="22">
        <f>13.2-9.1</f>
        <v>4.0999999999999996</v>
      </c>
      <c r="O156" s="22" t="s">
        <v>532</v>
      </c>
      <c r="P156" s="19" t="s">
        <v>529</v>
      </c>
      <c r="Q156" s="50"/>
      <c r="R156" s="180"/>
      <c r="S156" s="181"/>
      <c r="T156" s="50"/>
      <c r="U156" s="182"/>
      <c r="V156" s="183"/>
      <c r="X156" s="182"/>
      <c r="Y156" s="183"/>
    </row>
    <row r="157" spans="1:25" ht="14" thickBot="1">
      <c r="A157" s="19"/>
      <c r="B157" s="29"/>
      <c r="C157" s="29"/>
      <c r="D157" s="19"/>
      <c r="E157" s="22"/>
      <c r="F157" s="22"/>
      <c r="G157" s="22"/>
      <c r="H157" s="19"/>
      <c r="I157" s="19" t="s">
        <v>237</v>
      </c>
      <c r="J157" s="22">
        <v>157.80000000000001</v>
      </c>
      <c r="K157" s="22">
        <v>27.5</v>
      </c>
      <c r="L157" s="22">
        <f t="shared" si="13"/>
        <v>36.200000000000003</v>
      </c>
      <c r="M157" s="22" t="s">
        <v>532</v>
      </c>
      <c r="N157" s="22">
        <f>157.8-100.6</f>
        <v>57.200000000000017</v>
      </c>
      <c r="O157" s="22" t="s">
        <v>532</v>
      </c>
      <c r="P157" s="19" t="s">
        <v>529</v>
      </c>
      <c r="Q157" s="50"/>
      <c r="R157" s="180"/>
      <c r="S157" s="181"/>
      <c r="T157" s="50"/>
      <c r="U157" s="182"/>
      <c r="V157" s="183"/>
      <c r="X157" s="182"/>
      <c r="Y157" s="183"/>
    </row>
    <row r="158" spans="1:25" ht="14" thickBot="1">
      <c r="A158" s="19"/>
      <c r="B158" s="29"/>
      <c r="C158" s="29"/>
      <c r="D158" s="19"/>
      <c r="E158" s="22"/>
      <c r="F158" s="22"/>
      <c r="G158" s="22"/>
      <c r="H158" s="19"/>
      <c r="I158" s="19" t="s">
        <v>238</v>
      </c>
      <c r="J158" s="22">
        <v>337.4</v>
      </c>
      <c r="K158" s="22">
        <v>36.299999999999997</v>
      </c>
      <c r="L158" s="22">
        <f t="shared" si="13"/>
        <v>53.9</v>
      </c>
      <c r="M158" s="22" t="s">
        <v>532</v>
      </c>
      <c r="N158" s="22">
        <f>337.4-155.4</f>
        <v>181.99999999999997</v>
      </c>
      <c r="O158" s="22" t="s">
        <v>532</v>
      </c>
      <c r="P158" s="19" t="s">
        <v>529</v>
      </c>
      <c r="Q158" s="50"/>
      <c r="R158" s="180"/>
      <c r="S158" s="181"/>
      <c r="T158" s="50"/>
      <c r="U158" s="182"/>
      <c r="V158" s="183"/>
      <c r="X158" s="182"/>
      <c r="Y158" s="183"/>
    </row>
    <row r="159" spans="1:25" ht="14" thickBot="1">
      <c r="A159" s="19"/>
      <c r="B159" s="29"/>
      <c r="C159" s="29"/>
      <c r="D159" s="19"/>
      <c r="E159" s="22"/>
      <c r="F159" s="22"/>
      <c r="G159" s="22"/>
      <c r="H159" s="19"/>
      <c r="I159" s="38" t="s">
        <v>368</v>
      </c>
      <c r="J159" s="45">
        <v>361.2</v>
      </c>
      <c r="K159" s="45">
        <v>36.799999999999997</v>
      </c>
      <c r="L159" s="45">
        <f t="shared" si="13"/>
        <v>57</v>
      </c>
      <c r="M159" s="45" t="s">
        <v>265</v>
      </c>
      <c r="N159" s="45">
        <f>361.2-155.4</f>
        <v>205.79999999999998</v>
      </c>
      <c r="O159" s="45" t="s">
        <v>265</v>
      </c>
      <c r="P159" s="19" t="s">
        <v>529</v>
      </c>
      <c r="Q159" s="50"/>
      <c r="R159" s="180"/>
      <c r="S159" s="181"/>
      <c r="T159" s="50"/>
      <c r="U159" s="182"/>
      <c r="V159" s="183"/>
      <c r="X159" s="182"/>
      <c r="Y159" s="183"/>
    </row>
    <row r="160" spans="1:25" ht="14" thickBot="1">
      <c r="A160" s="3"/>
      <c r="B160" s="5"/>
      <c r="C160" s="5"/>
      <c r="D160" s="3"/>
      <c r="E160" s="74"/>
      <c r="F160" s="74"/>
      <c r="G160" s="74"/>
      <c r="H160" s="3"/>
      <c r="I160" s="255" t="s">
        <v>378</v>
      </c>
      <c r="J160" s="258">
        <f t="shared" ref="J160:J175" si="14">ROUND(AVERAGE(J128,J144),1)</f>
        <v>11.4</v>
      </c>
      <c r="K160" s="258" t="s">
        <v>532</v>
      </c>
      <c r="L160" s="258">
        <f t="shared" ref="L160:L175" si="15">ROUND(AVERAGE(L128,L144),1)</f>
        <v>98.7</v>
      </c>
      <c r="M160" s="258" t="s">
        <v>532</v>
      </c>
      <c r="N160" s="258">
        <f t="shared" ref="N160:N175" si="16">ROUND(AVERAGE(N128,N144),1)</f>
        <v>11.3</v>
      </c>
      <c r="O160" s="259" t="s">
        <v>532</v>
      </c>
      <c r="P160" s="3"/>
      <c r="Q160" s="50"/>
      <c r="R160" s="189">
        <v>-15.85</v>
      </c>
      <c r="S160" s="190">
        <v>-60.52</v>
      </c>
      <c r="T160" s="50"/>
      <c r="U160" s="189">
        <v>-9.1999999999999993</v>
      </c>
      <c r="V160" s="190">
        <v>-60.5</v>
      </c>
      <c r="X160" s="189">
        <v>-9.1999999999999993</v>
      </c>
      <c r="Y160" s="190">
        <v>-60.5</v>
      </c>
    </row>
    <row r="161" spans="1:25" ht="14" thickBot="1">
      <c r="A161" s="3"/>
      <c r="B161" s="5"/>
      <c r="C161" s="5"/>
      <c r="D161" s="3"/>
      <c r="E161" s="74"/>
      <c r="F161" s="74"/>
      <c r="G161" s="74"/>
      <c r="H161" s="3"/>
      <c r="I161" s="256" t="s">
        <v>117</v>
      </c>
      <c r="J161" s="260">
        <f t="shared" si="14"/>
        <v>7.9</v>
      </c>
      <c r="K161" s="260" t="s">
        <v>532</v>
      </c>
      <c r="L161" s="260">
        <f t="shared" si="15"/>
        <v>87</v>
      </c>
      <c r="M161" s="260" t="s">
        <v>532</v>
      </c>
      <c r="N161" s="260">
        <f t="shared" si="16"/>
        <v>6.2</v>
      </c>
      <c r="O161" s="261" t="s">
        <v>532</v>
      </c>
      <c r="P161" s="3"/>
      <c r="Q161" s="50"/>
      <c r="R161" s="180"/>
      <c r="S161" s="181"/>
      <c r="T161" s="50"/>
      <c r="U161" s="182"/>
      <c r="V161" s="183"/>
      <c r="X161" s="182"/>
      <c r="Y161" s="183"/>
    </row>
    <row r="162" spans="1:25" ht="14" thickBot="1">
      <c r="A162" s="3"/>
      <c r="B162" s="5"/>
      <c r="C162" s="5"/>
      <c r="D162" s="3"/>
      <c r="E162" s="74"/>
      <c r="F162" s="74"/>
      <c r="G162" s="74"/>
      <c r="H162" s="3"/>
      <c r="I162" s="256" t="s">
        <v>118</v>
      </c>
      <c r="J162" s="260">
        <f t="shared" si="14"/>
        <v>19.100000000000001</v>
      </c>
      <c r="K162" s="260" t="s">
        <v>532</v>
      </c>
      <c r="L162" s="260">
        <f t="shared" si="15"/>
        <v>92.4</v>
      </c>
      <c r="M162" s="260" t="s">
        <v>532</v>
      </c>
      <c r="N162" s="260">
        <f t="shared" si="16"/>
        <v>17.399999999999999</v>
      </c>
      <c r="O162" s="261" t="s">
        <v>532</v>
      </c>
      <c r="P162" s="3"/>
      <c r="Q162" s="50"/>
      <c r="R162" s="180"/>
      <c r="S162" s="181"/>
      <c r="T162" s="50"/>
      <c r="U162" s="182"/>
      <c r="V162" s="183"/>
      <c r="X162" s="182"/>
      <c r="Y162" s="183"/>
    </row>
    <row r="163" spans="1:25" ht="14" thickBot="1">
      <c r="A163" s="3"/>
      <c r="B163" s="5"/>
      <c r="C163" s="5"/>
      <c r="D163" s="3"/>
      <c r="E163" s="74"/>
      <c r="F163" s="74"/>
      <c r="G163" s="74"/>
      <c r="H163" s="3"/>
      <c r="I163" s="256" t="s">
        <v>119</v>
      </c>
      <c r="J163" s="260">
        <f t="shared" si="14"/>
        <v>0.8</v>
      </c>
      <c r="K163" s="260" t="s">
        <v>532</v>
      </c>
      <c r="L163" s="260">
        <f t="shared" si="15"/>
        <v>93.8</v>
      </c>
      <c r="M163" s="260" t="s">
        <v>532</v>
      </c>
      <c r="N163" s="260">
        <f t="shared" si="16"/>
        <v>0.8</v>
      </c>
      <c r="O163" s="261" t="s">
        <v>532</v>
      </c>
      <c r="P163" s="3"/>
      <c r="Q163" s="50"/>
      <c r="R163" s="180"/>
      <c r="S163" s="181"/>
      <c r="T163" s="50"/>
      <c r="U163" s="182"/>
      <c r="V163" s="183"/>
      <c r="X163" s="182"/>
      <c r="Y163" s="183"/>
    </row>
    <row r="164" spans="1:25" ht="14" thickBot="1">
      <c r="A164" s="3"/>
      <c r="B164" s="5"/>
      <c r="C164" s="5"/>
      <c r="D164" s="3"/>
      <c r="E164" s="74"/>
      <c r="F164" s="74"/>
      <c r="G164" s="74"/>
      <c r="H164" s="3"/>
      <c r="I164" s="256" t="s">
        <v>162</v>
      </c>
      <c r="J164" s="260">
        <f t="shared" si="14"/>
        <v>7.7</v>
      </c>
      <c r="K164" s="260" t="s">
        <v>532</v>
      </c>
      <c r="L164" s="260">
        <f t="shared" si="15"/>
        <v>98.7</v>
      </c>
      <c r="M164" s="260" t="s">
        <v>532</v>
      </c>
      <c r="N164" s="260">
        <f t="shared" si="16"/>
        <v>7.6</v>
      </c>
      <c r="O164" s="261" t="s">
        <v>532</v>
      </c>
      <c r="P164" s="3"/>
      <c r="Q164" s="50"/>
      <c r="R164" s="180"/>
      <c r="S164" s="181"/>
      <c r="T164" s="50"/>
      <c r="U164" s="182"/>
      <c r="V164" s="183"/>
      <c r="X164" s="182"/>
      <c r="Y164" s="183"/>
    </row>
    <row r="165" spans="1:25" ht="14" thickBot="1">
      <c r="A165" s="3"/>
      <c r="B165" s="5"/>
      <c r="C165" s="5"/>
      <c r="D165" s="3"/>
      <c r="E165" s="74"/>
      <c r="F165" s="74"/>
      <c r="G165" s="74"/>
      <c r="H165" s="3"/>
      <c r="I165" s="256" t="s">
        <v>585</v>
      </c>
      <c r="J165" s="260">
        <f t="shared" si="14"/>
        <v>6.5</v>
      </c>
      <c r="K165" s="260" t="s">
        <v>532</v>
      </c>
      <c r="L165" s="260">
        <f t="shared" si="15"/>
        <v>98.4</v>
      </c>
      <c r="M165" s="260" t="s">
        <v>532</v>
      </c>
      <c r="N165" s="260">
        <f t="shared" si="16"/>
        <v>6.4</v>
      </c>
      <c r="O165" s="261" t="s">
        <v>532</v>
      </c>
      <c r="P165" s="3"/>
      <c r="Q165" s="50"/>
      <c r="R165" s="180"/>
      <c r="S165" s="181"/>
      <c r="T165" s="50"/>
      <c r="U165" s="182"/>
      <c r="V165" s="183"/>
      <c r="X165" s="182"/>
      <c r="Y165" s="183"/>
    </row>
    <row r="166" spans="1:25" ht="14" thickBot="1">
      <c r="A166" s="3"/>
      <c r="B166" s="5"/>
      <c r="C166" s="5"/>
      <c r="D166" s="3"/>
      <c r="E166" s="74"/>
      <c r="F166" s="74"/>
      <c r="G166" s="74"/>
      <c r="H166" s="3"/>
      <c r="I166" s="256" t="s">
        <v>448</v>
      </c>
      <c r="J166" s="260">
        <f t="shared" si="14"/>
        <v>17.899999999999999</v>
      </c>
      <c r="K166" s="260" t="s">
        <v>532</v>
      </c>
      <c r="L166" s="260">
        <f t="shared" si="15"/>
        <v>93.7</v>
      </c>
      <c r="M166" s="260" t="s">
        <v>532</v>
      </c>
      <c r="N166" s="260">
        <f t="shared" si="16"/>
        <v>16.8</v>
      </c>
      <c r="O166" s="261" t="s">
        <v>532</v>
      </c>
      <c r="P166" s="3"/>
      <c r="Q166" s="50"/>
      <c r="R166" s="180"/>
      <c r="S166" s="181"/>
      <c r="T166" s="50"/>
      <c r="U166" s="182"/>
      <c r="V166" s="183"/>
      <c r="X166" s="182"/>
      <c r="Y166" s="183"/>
    </row>
    <row r="167" spans="1:25" ht="14" thickBot="1">
      <c r="A167" s="3"/>
      <c r="B167" s="5"/>
      <c r="C167" s="5"/>
      <c r="D167" s="3"/>
      <c r="E167" s="74"/>
      <c r="F167" s="74"/>
      <c r="G167" s="74"/>
      <c r="H167" s="3"/>
      <c r="I167" s="256" t="s">
        <v>468</v>
      </c>
      <c r="J167" s="260">
        <f t="shared" si="14"/>
        <v>45.3</v>
      </c>
      <c r="K167" s="260" t="s">
        <v>532</v>
      </c>
      <c r="L167" s="260">
        <f t="shared" si="15"/>
        <v>77.599999999999994</v>
      </c>
      <c r="M167" s="260" t="s">
        <v>532</v>
      </c>
      <c r="N167" s="260">
        <f t="shared" si="16"/>
        <v>35.9</v>
      </c>
      <c r="O167" s="261" t="s">
        <v>532</v>
      </c>
      <c r="P167" s="3"/>
      <c r="Q167" s="50"/>
      <c r="R167" s="180"/>
      <c r="S167" s="181"/>
      <c r="T167" s="50"/>
      <c r="U167" s="182"/>
      <c r="V167" s="183"/>
      <c r="X167" s="182"/>
      <c r="Y167" s="183"/>
    </row>
    <row r="168" spans="1:25" ht="14" thickBot="1">
      <c r="A168" s="3"/>
      <c r="B168" s="5"/>
      <c r="C168" s="5"/>
      <c r="D168" s="3"/>
      <c r="E168" s="74"/>
      <c r="F168" s="74"/>
      <c r="G168" s="74"/>
      <c r="H168" s="3"/>
      <c r="I168" s="256" t="s">
        <v>233</v>
      </c>
      <c r="J168" s="260">
        <f t="shared" si="14"/>
        <v>79.5</v>
      </c>
      <c r="K168" s="260" t="s">
        <v>532</v>
      </c>
      <c r="L168" s="260">
        <f t="shared" si="15"/>
        <v>41</v>
      </c>
      <c r="M168" s="260" t="s">
        <v>532</v>
      </c>
      <c r="N168" s="260">
        <f t="shared" si="16"/>
        <v>34.1</v>
      </c>
      <c r="O168" s="261" t="s">
        <v>532</v>
      </c>
      <c r="P168" s="3"/>
      <c r="Q168" s="50"/>
      <c r="R168" s="180"/>
      <c r="S168" s="181"/>
      <c r="T168" s="50"/>
      <c r="U168" s="182"/>
      <c r="V168" s="183"/>
      <c r="X168" s="182"/>
      <c r="Y168" s="183"/>
    </row>
    <row r="169" spans="1:25" ht="14" thickBot="1">
      <c r="A169" s="3"/>
      <c r="B169" s="5"/>
      <c r="C169" s="5"/>
      <c r="D169" s="3"/>
      <c r="E169" s="74"/>
      <c r="F169" s="74"/>
      <c r="G169" s="74"/>
      <c r="H169" s="3"/>
      <c r="I169" s="256" t="s">
        <v>234</v>
      </c>
      <c r="J169" s="260">
        <f t="shared" si="14"/>
        <v>4.2</v>
      </c>
      <c r="K169" s="260" t="s">
        <v>532</v>
      </c>
      <c r="L169" s="260">
        <f t="shared" si="15"/>
        <v>78.2</v>
      </c>
      <c r="M169" s="260" t="s">
        <v>532</v>
      </c>
      <c r="N169" s="260">
        <f t="shared" si="16"/>
        <v>3.3</v>
      </c>
      <c r="O169" s="261" t="s">
        <v>532</v>
      </c>
      <c r="P169" s="3"/>
      <c r="Q169" s="50"/>
      <c r="R169" s="180"/>
      <c r="S169" s="181"/>
      <c r="T169" s="50"/>
      <c r="U169" s="182"/>
      <c r="V169" s="183"/>
      <c r="X169" s="182"/>
      <c r="Y169" s="183"/>
    </row>
    <row r="170" spans="1:25" ht="14" thickBot="1">
      <c r="A170" s="3"/>
      <c r="B170" s="5"/>
      <c r="C170" s="5"/>
      <c r="D170" s="3"/>
      <c r="E170" s="74"/>
      <c r="F170" s="74"/>
      <c r="G170" s="74"/>
      <c r="H170" s="3"/>
      <c r="I170" s="256" t="s">
        <v>359</v>
      </c>
      <c r="J170" s="260">
        <f t="shared" si="14"/>
        <v>83.6</v>
      </c>
      <c r="K170" s="260" t="s">
        <v>532</v>
      </c>
      <c r="L170" s="260">
        <f t="shared" si="15"/>
        <v>43.4</v>
      </c>
      <c r="M170" s="260" t="s">
        <v>532</v>
      </c>
      <c r="N170" s="260">
        <f t="shared" si="16"/>
        <v>37.5</v>
      </c>
      <c r="O170" s="261" t="s">
        <v>532</v>
      </c>
      <c r="P170" s="3"/>
      <c r="Q170" s="50"/>
      <c r="R170" s="180"/>
      <c r="S170" s="181"/>
      <c r="T170" s="50"/>
      <c r="U170" s="182"/>
      <c r="V170" s="183"/>
      <c r="X170" s="182"/>
      <c r="Y170" s="183"/>
    </row>
    <row r="171" spans="1:25" ht="14" thickBot="1">
      <c r="A171" s="3"/>
      <c r="B171" s="5"/>
      <c r="C171" s="5"/>
      <c r="D171" s="3"/>
      <c r="E171" s="74"/>
      <c r="F171" s="74"/>
      <c r="G171" s="74"/>
      <c r="H171" s="3"/>
      <c r="I171" s="256" t="s">
        <v>360</v>
      </c>
      <c r="J171" s="260">
        <f t="shared" si="14"/>
        <v>134.6</v>
      </c>
      <c r="K171" s="260" t="s">
        <v>532</v>
      </c>
      <c r="L171" s="260">
        <f t="shared" si="15"/>
        <v>27.1</v>
      </c>
      <c r="M171" s="260" t="s">
        <v>532</v>
      </c>
      <c r="N171" s="260">
        <f t="shared" si="16"/>
        <v>37.4</v>
      </c>
      <c r="O171" s="261" t="s">
        <v>532</v>
      </c>
      <c r="P171" s="3"/>
      <c r="Q171" s="50"/>
      <c r="R171" s="180"/>
      <c r="S171" s="181"/>
      <c r="T171" s="50"/>
      <c r="U171" s="182"/>
      <c r="V171" s="183"/>
      <c r="X171" s="182"/>
      <c r="Y171" s="183"/>
    </row>
    <row r="172" spans="1:25" ht="14" thickBot="1">
      <c r="A172" s="3"/>
      <c r="B172" s="5"/>
      <c r="C172" s="5"/>
      <c r="D172" s="3"/>
      <c r="E172" s="74"/>
      <c r="F172" s="74"/>
      <c r="G172" s="74"/>
      <c r="H172" s="3"/>
      <c r="I172" s="256" t="s">
        <v>362</v>
      </c>
      <c r="J172" s="260">
        <f t="shared" si="14"/>
        <v>10.7</v>
      </c>
      <c r="K172" s="260" t="s">
        <v>532</v>
      </c>
      <c r="L172" s="260">
        <f t="shared" si="15"/>
        <v>65.599999999999994</v>
      </c>
      <c r="M172" s="260" t="s">
        <v>532</v>
      </c>
      <c r="N172" s="260">
        <f t="shared" si="16"/>
        <v>6.1</v>
      </c>
      <c r="O172" s="261" t="s">
        <v>532</v>
      </c>
      <c r="P172" s="3"/>
      <c r="Q172" s="50"/>
      <c r="R172" s="180"/>
      <c r="S172" s="181"/>
      <c r="T172" s="50"/>
      <c r="U172" s="182"/>
      <c r="V172" s="183"/>
      <c r="X172" s="182"/>
      <c r="Y172" s="183"/>
    </row>
    <row r="173" spans="1:25" ht="14" thickBot="1">
      <c r="A173" s="3"/>
      <c r="B173" s="5"/>
      <c r="C173" s="5"/>
      <c r="D173" s="3"/>
      <c r="E173" s="74"/>
      <c r="F173" s="74"/>
      <c r="G173" s="74"/>
      <c r="H173" s="3"/>
      <c r="I173" s="256" t="s">
        <v>97</v>
      </c>
      <c r="J173" s="260">
        <f t="shared" si="14"/>
        <v>145.30000000000001</v>
      </c>
      <c r="K173" s="260" t="s">
        <v>532</v>
      </c>
      <c r="L173" s="260">
        <f t="shared" si="15"/>
        <v>29.4</v>
      </c>
      <c r="M173" s="260" t="s">
        <v>532</v>
      </c>
      <c r="N173" s="260">
        <f t="shared" si="16"/>
        <v>43.5</v>
      </c>
      <c r="O173" s="261" t="s">
        <v>532</v>
      </c>
      <c r="P173" s="3"/>
      <c r="Q173" s="50"/>
      <c r="R173" s="180"/>
      <c r="S173" s="181"/>
      <c r="T173" s="50"/>
      <c r="U173" s="182"/>
      <c r="V173" s="183"/>
      <c r="X173" s="182"/>
      <c r="Y173" s="183"/>
    </row>
    <row r="174" spans="1:25" ht="14" thickBot="1">
      <c r="A174" s="3"/>
      <c r="B174" s="5"/>
      <c r="C174" s="5"/>
      <c r="D174" s="3"/>
      <c r="E174" s="74"/>
      <c r="F174" s="74"/>
      <c r="G174" s="74"/>
      <c r="H174" s="3"/>
      <c r="I174" s="256" t="s">
        <v>98</v>
      </c>
      <c r="J174" s="260">
        <f t="shared" si="14"/>
        <v>298.7</v>
      </c>
      <c r="K174" s="260" t="s">
        <v>532</v>
      </c>
      <c r="L174" s="260">
        <f t="shared" si="15"/>
        <v>45.9</v>
      </c>
      <c r="M174" s="260" t="s">
        <v>532</v>
      </c>
      <c r="N174" s="260">
        <f t="shared" si="16"/>
        <v>140.30000000000001</v>
      </c>
      <c r="O174" s="261" t="s">
        <v>532</v>
      </c>
      <c r="P174" s="3"/>
      <c r="Q174" s="50"/>
      <c r="R174" s="180"/>
      <c r="S174" s="181"/>
      <c r="T174" s="50"/>
      <c r="U174" s="182"/>
      <c r="V174" s="183"/>
      <c r="X174" s="182"/>
      <c r="Y174" s="183"/>
    </row>
    <row r="175" spans="1:25" ht="14" thickBot="1">
      <c r="A175" s="3"/>
      <c r="B175" s="5"/>
      <c r="C175" s="5"/>
      <c r="D175" s="3"/>
      <c r="E175" s="74"/>
      <c r="F175" s="74"/>
      <c r="G175" s="74"/>
      <c r="H175" s="3"/>
      <c r="I175" s="257" t="s">
        <v>235</v>
      </c>
      <c r="J175" s="262">
        <f t="shared" si="14"/>
        <v>325.7</v>
      </c>
      <c r="K175" s="262" t="s">
        <v>532</v>
      </c>
      <c r="L175" s="262">
        <f t="shared" si="15"/>
        <v>50.1</v>
      </c>
      <c r="M175" s="262" t="s">
        <v>532</v>
      </c>
      <c r="N175" s="262">
        <f t="shared" si="16"/>
        <v>165.5</v>
      </c>
      <c r="O175" s="263" t="s">
        <v>532</v>
      </c>
      <c r="P175" s="3"/>
      <c r="Q175" s="50"/>
      <c r="R175" s="180"/>
      <c r="S175" s="181"/>
      <c r="T175" s="50"/>
      <c r="U175" s="182"/>
      <c r="V175" s="183"/>
      <c r="X175" s="182"/>
      <c r="Y175" s="183"/>
    </row>
    <row r="176" spans="1:25" s="58" customFormat="1">
      <c r="A176" s="3"/>
      <c r="B176" s="5"/>
      <c r="C176" s="5"/>
      <c r="D176" s="3"/>
      <c r="E176" s="74"/>
      <c r="F176" s="74"/>
      <c r="G176" s="74"/>
      <c r="H176" s="3"/>
      <c r="I176" s="3"/>
      <c r="J176" s="74"/>
      <c r="K176" s="74"/>
      <c r="L176" s="74"/>
      <c r="M176" s="74"/>
      <c r="N176" s="74"/>
      <c r="O176" s="74"/>
      <c r="P176" s="3"/>
      <c r="Q176" s="73"/>
    </row>
    <row r="177" spans="1:17" s="58" customFormat="1">
      <c r="A177" s="293"/>
      <c r="B177" s="297"/>
      <c r="C177" s="297"/>
      <c r="D177" s="293"/>
      <c r="E177" s="292"/>
      <c r="F177" s="292"/>
      <c r="G177" s="292"/>
      <c r="H177" s="293"/>
      <c r="I177" s="293"/>
      <c r="J177" s="292"/>
      <c r="K177" s="292"/>
      <c r="L177" s="292"/>
      <c r="M177" s="292"/>
      <c r="N177" s="292"/>
      <c r="O177" s="292"/>
      <c r="P177" s="293"/>
      <c r="Q177" s="73"/>
    </row>
    <row r="178" spans="1:17" s="58" customFormat="1" ht="14" thickBot="1">
      <c r="A178" s="3"/>
      <c r="B178" s="5"/>
      <c r="C178" s="5"/>
      <c r="D178" s="3"/>
      <c r="E178" s="74"/>
      <c r="F178" s="74"/>
      <c r="G178" s="74"/>
      <c r="H178" s="3"/>
      <c r="I178" s="3"/>
      <c r="J178" s="74"/>
      <c r="K178" s="74"/>
      <c r="L178" s="74"/>
      <c r="M178" s="74"/>
      <c r="N178" s="74"/>
      <c r="O178" s="74"/>
      <c r="P178" s="3"/>
      <c r="Q178" s="73"/>
    </row>
    <row r="179" spans="1:17" ht="15">
      <c r="A179" s="19" t="s">
        <v>1200</v>
      </c>
      <c r="B179" s="29" t="s">
        <v>1201</v>
      </c>
      <c r="C179" s="29" t="s">
        <v>1097</v>
      </c>
      <c r="D179" s="19" t="s">
        <v>1306</v>
      </c>
      <c r="E179" s="22">
        <v>1991</v>
      </c>
      <c r="F179" s="22">
        <v>11</v>
      </c>
      <c r="G179" s="22">
        <v>3</v>
      </c>
      <c r="H179" s="27" t="s">
        <v>1307</v>
      </c>
      <c r="I179" s="47" t="s">
        <v>1308</v>
      </c>
      <c r="J179" s="51">
        <v>211.2</v>
      </c>
      <c r="K179" s="51" t="s">
        <v>253</v>
      </c>
      <c r="L179" s="51">
        <v>1.7</v>
      </c>
      <c r="M179" s="51" t="s">
        <v>253</v>
      </c>
      <c r="N179" s="51">
        <f t="shared" ref="N179:N188" si="17">ROUND(J179*(L179/100),1)</f>
        <v>3.6</v>
      </c>
      <c r="O179" s="52" t="s">
        <v>253</v>
      </c>
      <c r="P179" s="30" t="s">
        <v>1309</v>
      </c>
      <c r="Q179" s="50"/>
    </row>
    <row r="180" spans="1:17" ht="15">
      <c r="A180" s="19"/>
      <c r="B180" s="29"/>
      <c r="C180" s="29"/>
      <c r="D180" s="19"/>
      <c r="E180" s="22"/>
      <c r="F180" s="22"/>
      <c r="G180" s="22"/>
      <c r="H180" s="27"/>
      <c r="I180" s="48" t="s">
        <v>1425</v>
      </c>
      <c r="J180" s="53">
        <v>41.8</v>
      </c>
      <c r="K180" s="53" t="s">
        <v>986</v>
      </c>
      <c r="L180" s="53">
        <v>1</v>
      </c>
      <c r="M180" s="53" t="s">
        <v>986</v>
      </c>
      <c r="N180" s="53">
        <f t="shared" si="17"/>
        <v>0.4</v>
      </c>
      <c r="O180" s="54" t="s">
        <v>986</v>
      </c>
      <c r="P180" s="30" t="s">
        <v>1309</v>
      </c>
      <c r="Q180" s="50"/>
    </row>
    <row r="181" spans="1:17" ht="15">
      <c r="A181" s="19"/>
      <c r="B181" s="29"/>
      <c r="C181" s="29"/>
      <c r="D181" s="19"/>
      <c r="E181" s="22"/>
      <c r="F181" s="22"/>
      <c r="G181" s="22"/>
      <c r="H181" s="27"/>
      <c r="I181" s="48" t="s">
        <v>1212</v>
      </c>
      <c r="J181" s="53">
        <v>80.8</v>
      </c>
      <c r="K181" s="53" t="s">
        <v>986</v>
      </c>
      <c r="L181" s="53">
        <v>1.9</v>
      </c>
      <c r="M181" s="53" t="s">
        <v>986</v>
      </c>
      <c r="N181" s="53">
        <f t="shared" si="17"/>
        <v>1.5</v>
      </c>
      <c r="O181" s="54" t="s">
        <v>986</v>
      </c>
      <c r="P181" s="30" t="s">
        <v>1309</v>
      </c>
      <c r="Q181" s="50"/>
    </row>
    <row r="182" spans="1:17" ht="15">
      <c r="A182" s="19"/>
      <c r="B182" s="29"/>
      <c r="C182" s="29"/>
      <c r="D182" s="19"/>
      <c r="E182" s="22"/>
      <c r="F182" s="22"/>
      <c r="G182" s="22"/>
      <c r="H182" s="27"/>
      <c r="I182" s="48" t="s">
        <v>1213</v>
      </c>
      <c r="J182" s="53">
        <v>44.6</v>
      </c>
      <c r="K182" s="53" t="s">
        <v>986</v>
      </c>
      <c r="L182" s="53">
        <v>10.6</v>
      </c>
      <c r="M182" s="53" t="s">
        <v>986</v>
      </c>
      <c r="N182" s="53">
        <f t="shared" si="17"/>
        <v>4.7</v>
      </c>
      <c r="O182" s="54" t="s">
        <v>986</v>
      </c>
      <c r="P182" s="30" t="s">
        <v>1309</v>
      </c>
      <c r="Q182" s="50"/>
    </row>
    <row r="183" spans="1:17" ht="15">
      <c r="A183" s="19"/>
      <c r="B183" s="29"/>
      <c r="C183" s="29"/>
      <c r="D183" s="19"/>
      <c r="E183" s="22"/>
      <c r="F183" s="22"/>
      <c r="G183" s="22"/>
      <c r="H183" s="27"/>
      <c r="I183" s="48" t="s">
        <v>1214</v>
      </c>
      <c r="J183" s="53">
        <v>0.5</v>
      </c>
      <c r="K183" s="53" t="s">
        <v>986</v>
      </c>
      <c r="L183" s="53">
        <v>0.1</v>
      </c>
      <c r="M183" s="53" t="s">
        <v>986</v>
      </c>
      <c r="N183" s="53">
        <f t="shared" si="17"/>
        <v>0</v>
      </c>
      <c r="O183" s="54" t="s">
        <v>986</v>
      </c>
      <c r="P183" s="30" t="s">
        <v>1309</v>
      </c>
      <c r="Q183" s="50"/>
    </row>
    <row r="184" spans="1:17" ht="15">
      <c r="A184" s="19"/>
      <c r="B184" s="29"/>
      <c r="C184" s="29"/>
      <c r="D184" s="19"/>
      <c r="E184" s="22"/>
      <c r="F184" s="22"/>
      <c r="G184" s="22"/>
      <c r="H184" s="27"/>
      <c r="I184" s="48" t="s">
        <v>1216</v>
      </c>
      <c r="J184" s="53">
        <v>9.9</v>
      </c>
      <c r="K184" s="53" t="s">
        <v>986</v>
      </c>
      <c r="L184" s="53">
        <v>2.2999999999999998</v>
      </c>
      <c r="M184" s="53" t="s">
        <v>986</v>
      </c>
      <c r="N184" s="53">
        <f t="shared" si="17"/>
        <v>0.2</v>
      </c>
      <c r="O184" s="54" t="s">
        <v>986</v>
      </c>
      <c r="P184" s="30" t="s">
        <v>1309</v>
      </c>
      <c r="Q184" s="50"/>
    </row>
    <row r="185" spans="1:17" ht="15">
      <c r="A185" s="19"/>
      <c r="B185" s="29"/>
      <c r="C185" s="29"/>
      <c r="D185" s="19"/>
      <c r="E185" s="22"/>
      <c r="F185" s="22"/>
      <c r="G185" s="22"/>
      <c r="H185" s="27"/>
      <c r="I185" s="48" t="s">
        <v>1635</v>
      </c>
      <c r="J185" s="53">
        <v>4.9000000000000004</v>
      </c>
      <c r="K185" s="53" t="s">
        <v>986</v>
      </c>
      <c r="L185" s="53">
        <v>1.2</v>
      </c>
      <c r="M185" s="53" t="s">
        <v>986</v>
      </c>
      <c r="N185" s="53">
        <f t="shared" si="17"/>
        <v>0.1</v>
      </c>
      <c r="O185" s="54" t="s">
        <v>986</v>
      </c>
      <c r="P185" s="30" t="s">
        <v>1309</v>
      </c>
      <c r="Q185" s="50"/>
    </row>
    <row r="186" spans="1:17" ht="15">
      <c r="A186" s="19"/>
      <c r="B186" s="29"/>
      <c r="C186" s="29"/>
      <c r="D186" s="19"/>
      <c r="E186" s="22"/>
      <c r="F186" s="22"/>
      <c r="G186" s="22"/>
      <c r="H186" s="27"/>
      <c r="I186" s="48" t="s">
        <v>544</v>
      </c>
      <c r="J186" s="53">
        <v>25.6</v>
      </c>
      <c r="K186" s="53" t="s">
        <v>986</v>
      </c>
      <c r="L186" s="53">
        <v>5</v>
      </c>
      <c r="M186" s="53" t="s">
        <v>986</v>
      </c>
      <c r="N186" s="53">
        <f t="shared" si="17"/>
        <v>1.3</v>
      </c>
      <c r="O186" s="54" t="s">
        <v>986</v>
      </c>
      <c r="P186" s="30" t="s">
        <v>1309</v>
      </c>
      <c r="Q186" s="50"/>
    </row>
    <row r="187" spans="1:17" ht="15">
      <c r="A187" s="19"/>
      <c r="B187" s="29"/>
      <c r="C187" s="29"/>
      <c r="D187" s="19"/>
      <c r="E187" s="22"/>
      <c r="F187" s="22"/>
      <c r="G187" s="22"/>
      <c r="H187" s="27"/>
      <c r="I187" s="48" t="s">
        <v>1211</v>
      </c>
      <c r="J187" s="53">
        <v>5.6</v>
      </c>
      <c r="K187" s="53" t="s">
        <v>986</v>
      </c>
      <c r="L187" s="53">
        <v>1.3</v>
      </c>
      <c r="M187" s="53" t="s">
        <v>986</v>
      </c>
      <c r="N187" s="53">
        <f t="shared" si="17"/>
        <v>0.1</v>
      </c>
      <c r="O187" s="54" t="s">
        <v>986</v>
      </c>
      <c r="P187" s="30" t="s">
        <v>1309</v>
      </c>
      <c r="Q187" s="50"/>
    </row>
    <row r="188" spans="1:17" ht="16" thickBot="1">
      <c r="A188" s="19"/>
      <c r="B188" s="29"/>
      <c r="C188" s="29"/>
      <c r="D188" s="19"/>
      <c r="E188" s="22"/>
      <c r="F188" s="22"/>
      <c r="G188" s="22"/>
      <c r="H188" s="27"/>
      <c r="I188" s="49" t="s">
        <v>485</v>
      </c>
      <c r="J188" s="55">
        <v>424.9</v>
      </c>
      <c r="K188" s="55" t="s">
        <v>986</v>
      </c>
      <c r="L188" s="55">
        <v>25.1</v>
      </c>
      <c r="M188" s="55" t="s">
        <v>986</v>
      </c>
      <c r="N188" s="55">
        <f t="shared" si="17"/>
        <v>106.6</v>
      </c>
      <c r="O188" s="56" t="s">
        <v>986</v>
      </c>
      <c r="P188" s="30" t="s">
        <v>1309</v>
      </c>
      <c r="Q188" s="50"/>
    </row>
    <row r="189" spans="1:17" s="58" customFormat="1">
      <c r="A189" s="35"/>
      <c r="B189" s="5"/>
      <c r="C189" s="5"/>
      <c r="D189" s="3"/>
      <c r="E189" s="74"/>
      <c r="F189" s="74"/>
      <c r="G189" s="74"/>
      <c r="H189" s="3"/>
      <c r="I189" s="3"/>
      <c r="J189" s="74"/>
      <c r="K189" s="74"/>
      <c r="L189" s="74"/>
      <c r="M189" s="74"/>
      <c r="N189" s="74"/>
      <c r="O189" s="74"/>
      <c r="P189" s="3"/>
      <c r="Q189" s="3"/>
    </row>
    <row r="190" spans="1:17" s="58" customFormat="1">
      <c r="A190" s="289"/>
      <c r="B190" s="297"/>
      <c r="C190" s="297"/>
      <c r="D190" s="293"/>
      <c r="E190" s="292"/>
      <c r="F190" s="292"/>
      <c r="G190" s="292"/>
      <c r="H190" s="293"/>
      <c r="I190" s="293"/>
      <c r="J190" s="292"/>
      <c r="K190" s="292"/>
      <c r="L190" s="292"/>
      <c r="M190" s="292"/>
      <c r="N190" s="292"/>
      <c r="O190" s="292"/>
      <c r="P190" s="293"/>
      <c r="Q190" s="3"/>
    </row>
    <row r="191" spans="1:17" s="1" customFormat="1">
      <c r="A191" s="3"/>
      <c r="B191" s="5"/>
      <c r="C191" s="5"/>
      <c r="D191" s="3"/>
      <c r="E191" s="74"/>
      <c r="F191" s="74"/>
      <c r="G191" s="74"/>
      <c r="H191" s="3"/>
      <c r="I191" s="3"/>
      <c r="J191" s="74"/>
      <c r="K191" s="74"/>
      <c r="L191" s="74"/>
      <c r="M191" s="74"/>
      <c r="N191" s="74"/>
      <c r="O191" s="74"/>
      <c r="P191" s="3"/>
      <c r="Q191" s="3"/>
    </row>
    <row r="192" spans="1:17">
      <c r="A192" s="184" t="s">
        <v>1240</v>
      </c>
      <c r="B192" s="193" t="s">
        <v>1077</v>
      </c>
      <c r="C192" s="193" t="s">
        <v>1078</v>
      </c>
      <c r="D192" s="184" t="s">
        <v>1492</v>
      </c>
      <c r="E192" s="194">
        <v>1995</v>
      </c>
      <c r="F192" s="194">
        <v>9</v>
      </c>
      <c r="G192" s="194">
        <v>4</v>
      </c>
      <c r="H192" s="184" t="s">
        <v>1363</v>
      </c>
      <c r="I192" s="184" t="s">
        <v>544</v>
      </c>
      <c r="J192" s="194">
        <v>7.3</v>
      </c>
      <c r="K192" s="194">
        <v>0.9</v>
      </c>
      <c r="L192" s="194">
        <f>(N192/J192)*100</f>
        <v>100</v>
      </c>
      <c r="M192" s="194" t="s">
        <v>986</v>
      </c>
      <c r="N192" s="194">
        <f>7.3</f>
        <v>7.3</v>
      </c>
      <c r="O192" s="194"/>
      <c r="P192" s="184" t="s">
        <v>1079</v>
      </c>
      <c r="Q192" s="50"/>
    </row>
    <row r="193" spans="1:17">
      <c r="A193" s="184"/>
      <c r="B193" s="193"/>
      <c r="C193" s="193"/>
      <c r="D193" s="184"/>
      <c r="E193" s="194"/>
      <c r="F193" s="194"/>
      <c r="G193" s="194"/>
      <c r="H193" s="184"/>
      <c r="I193" s="19" t="s">
        <v>1494</v>
      </c>
      <c r="J193" s="22" t="s">
        <v>986</v>
      </c>
      <c r="K193" s="22" t="s">
        <v>986</v>
      </c>
      <c r="L193" s="22" t="s">
        <v>986</v>
      </c>
      <c r="M193" s="22" t="s">
        <v>986</v>
      </c>
      <c r="N193" s="22" t="s">
        <v>986</v>
      </c>
      <c r="O193" s="22" t="s">
        <v>986</v>
      </c>
      <c r="P193" s="184" t="s">
        <v>1079</v>
      </c>
      <c r="Q193" s="50"/>
    </row>
    <row r="194" spans="1:17">
      <c r="A194" s="184"/>
      <c r="B194" s="193"/>
      <c r="C194" s="193"/>
      <c r="D194" s="184"/>
      <c r="E194" s="194"/>
      <c r="F194" s="194"/>
      <c r="G194" s="194"/>
      <c r="H194" s="184"/>
      <c r="I194" s="19" t="s">
        <v>1093</v>
      </c>
      <c r="J194" s="22" t="s">
        <v>986</v>
      </c>
      <c r="K194" s="22" t="s">
        <v>986</v>
      </c>
      <c r="L194" s="22" t="s">
        <v>986</v>
      </c>
      <c r="M194" s="22" t="s">
        <v>986</v>
      </c>
      <c r="N194" s="22" t="s">
        <v>986</v>
      </c>
      <c r="O194" s="22" t="s">
        <v>986</v>
      </c>
      <c r="P194" s="184" t="s">
        <v>1079</v>
      </c>
      <c r="Q194" s="50"/>
    </row>
    <row r="195" spans="1:17">
      <c r="A195" s="184"/>
      <c r="B195" s="193"/>
      <c r="C195" s="193"/>
      <c r="D195" s="184"/>
      <c r="E195" s="194"/>
      <c r="F195" s="194"/>
      <c r="G195" s="194"/>
      <c r="H195" s="184"/>
      <c r="I195" s="19" t="s">
        <v>1282</v>
      </c>
      <c r="J195" s="22">
        <v>0.2</v>
      </c>
      <c r="K195" s="22">
        <v>0.1</v>
      </c>
      <c r="L195" s="22">
        <f>(N195/J195)*100</f>
        <v>100</v>
      </c>
      <c r="M195" s="22" t="s">
        <v>986</v>
      </c>
      <c r="N195" s="22">
        <v>0.2</v>
      </c>
      <c r="O195" s="22"/>
      <c r="P195" s="184" t="s">
        <v>1079</v>
      </c>
      <c r="Q195" s="50"/>
    </row>
    <row r="196" spans="1:17">
      <c r="A196" s="184"/>
      <c r="B196" s="193"/>
      <c r="C196" s="193"/>
      <c r="D196" s="184"/>
      <c r="E196" s="194"/>
      <c r="F196" s="194"/>
      <c r="G196" s="194"/>
      <c r="H196" s="184"/>
      <c r="I196" s="19" t="s">
        <v>1495</v>
      </c>
      <c r="J196" s="22">
        <v>6.9</v>
      </c>
      <c r="K196" s="22">
        <v>1.5</v>
      </c>
      <c r="L196" s="22">
        <f>(N196/J196)*100</f>
        <v>100</v>
      </c>
      <c r="M196" s="22" t="s">
        <v>986</v>
      </c>
      <c r="N196" s="22">
        <v>6.9</v>
      </c>
      <c r="O196" s="22"/>
      <c r="P196" s="184" t="s">
        <v>1079</v>
      </c>
      <c r="Q196" s="50"/>
    </row>
    <row r="197" spans="1:17">
      <c r="A197" s="184"/>
      <c r="B197" s="193"/>
      <c r="C197" s="193"/>
      <c r="D197" s="184"/>
      <c r="E197" s="194"/>
      <c r="F197" s="194"/>
      <c r="G197" s="194"/>
      <c r="H197" s="184"/>
      <c r="I197" s="19" t="s">
        <v>1073</v>
      </c>
      <c r="J197" s="22">
        <v>8.9</v>
      </c>
      <c r="K197" s="22">
        <v>1.3</v>
      </c>
      <c r="L197" s="22">
        <f>(N197/J197)*100</f>
        <v>88.764044943820224</v>
      </c>
      <c r="M197" s="22" t="s">
        <v>986</v>
      </c>
      <c r="N197" s="22">
        <v>7.9</v>
      </c>
      <c r="O197" s="22"/>
      <c r="P197" s="184" t="s">
        <v>1079</v>
      </c>
      <c r="Q197" s="50"/>
    </row>
    <row r="198" spans="1:17">
      <c r="A198" s="184"/>
      <c r="B198" s="193"/>
      <c r="C198" s="193"/>
      <c r="D198" s="184"/>
      <c r="E198" s="194"/>
      <c r="F198" s="194"/>
      <c r="G198" s="194"/>
      <c r="H198" s="184"/>
      <c r="I198" s="19" t="s">
        <v>901</v>
      </c>
      <c r="J198" s="22">
        <v>4.5999999999999996</v>
      </c>
      <c r="K198" s="22">
        <v>0.7</v>
      </c>
      <c r="L198" s="22">
        <f>(N198/J198)*100</f>
        <v>89.130434782608688</v>
      </c>
      <c r="M198" s="22" t="s">
        <v>986</v>
      </c>
      <c r="N198" s="22">
        <v>4.0999999999999996</v>
      </c>
      <c r="O198" s="22"/>
      <c r="P198" s="184" t="s">
        <v>1079</v>
      </c>
      <c r="Q198" s="50"/>
    </row>
    <row r="199" spans="1:17">
      <c r="A199" s="184"/>
      <c r="B199" s="193"/>
      <c r="C199" s="193"/>
      <c r="D199" s="184"/>
      <c r="E199" s="194"/>
      <c r="F199" s="194"/>
      <c r="G199" s="194"/>
      <c r="H199" s="184"/>
      <c r="I199" s="19" t="s">
        <v>1478</v>
      </c>
      <c r="J199" s="22">
        <v>17.899999999999999</v>
      </c>
      <c r="K199" s="22">
        <v>2</v>
      </c>
      <c r="L199" s="22" t="s">
        <v>986</v>
      </c>
      <c r="M199" s="22" t="s">
        <v>986</v>
      </c>
      <c r="N199" s="22">
        <v>15.7</v>
      </c>
      <c r="O199" s="22"/>
      <c r="P199" s="184" t="s">
        <v>1079</v>
      </c>
      <c r="Q199" s="50"/>
    </row>
    <row r="200" spans="1:17">
      <c r="A200" s="184"/>
      <c r="B200" s="193"/>
      <c r="C200" s="193"/>
      <c r="D200" s="184"/>
      <c r="E200" s="194"/>
      <c r="F200" s="194"/>
      <c r="G200" s="194"/>
      <c r="H200" s="184"/>
      <c r="I200" s="19" t="s">
        <v>1247</v>
      </c>
      <c r="J200" s="22">
        <v>46.9</v>
      </c>
      <c r="K200" s="22">
        <v>5.4</v>
      </c>
      <c r="L200" s="22">
        <f>(N200/J200)*100</f>
        <v>74.413646055437098</v>
      </c>
      <c r="M200" s="22" t="s">
        <v>986</v>
      </c>
      <c r="N200" s="22">
        <v>34.9</v>
      </c>
      <c r="O200" s="22"/>
      <c r="P200" s="184" t="s">
        <v>1079</v>
      </c>
      <c r="Q200" s="50"/>
    </row>
    <row r="201" spans="1:17">
      <c r="A201" s="184"/>
      <c r="B201" s="193"/>
      <c r="C201" s="193"/>
      <c r="D201" s="184"/>
      <c r="E201" s="194"/>
      <c r="F201" s="194"/>
      <c r="G201" s="194"/>
      <c r="H201" s="184"/>
      <c r="I201" s="19" t="s">
        <v>1588</v>
      </c>
      <c r="J201" s="22">
        <v>73.5</v>
      </c>
      <c r="K201" s="22">
        <v>8.3000000000000007</v>
      </c>
      <c r="L201" s="22">
        <f>(N201/J201)*100</f>
        <v>16.598639455782315</v>
      </c>
      <c r="M201" s="22" t="s">
        <v>986</v>
      </c>
      <c r="N201" s="22">
        <f>73.5-61.3</f>
        <v>12.200000000000003</v>
      </c>
      <c r="O201" s="22"/>
      <c r="P201" s="184" t="s">
        <v>1079</v>
      </c>
      <c r="Q201" s="50"/>
    </row>
    <row r="202" spans="1:17">
      <c r="A202" s="184"/>
      <c r="B202" s="193"/>
      <c r="C202" s="193"/>
      <c r="D202" s="184"/>
      <c r="E202" s="194"/>
      <c r="F202" s="194"/>
      <c r="G202" s="194"/>
      <c r="H202" s="184"/>
      <c r="I202" s="19" t="s">
        <v>1283</v>
      </c>
      <c r="J202" s="22">
        <v>2.1</v>
      </c>
      <c r="K202" s="22">
        <v>0.9</v>
      </c>
      <c r="L202" s="22">
        <f>(N202/J202)*100</f>
        <v>100</v>
      </c>
      <c r="M202" s="22" t="s">
        <v>986</v>
      </c>
      <c r="N202" s="22">
        <v>2.1</v>
      </c>
      <c r="O202" s="22"/>
      <c r="P202" s="184" t="s">
        <v>1079</v>
      </c>
      <c r="Q202" s="50"/>
    </row>
    <row r="203" spans="1:17">
      <c r="A203" s="184"/>
      <c r="B203" s="193"/>
      <c r="C203" s="193"/>
      <c r="D203" s="184"/>
      <c r="E203" s="194"/>
      <c r="F203" s="194"/>
      <c r="G203" s="194"/>
      <c r="H203" s="184"/>
      <c r="I203" s="19" t="s">
        <v>1467</v>
      </c>
      <c r="J203" s="22">
        <v>164.8</v>
      </c>
      <c r="K203" s="22">
        <v>41.2</v>
      </c>
      <c r="L203" s="22">
        <f>(N203/J203)*100</f>
        <v>36.407766990291265</v>
      </c>
      <c r="M203" s="22" t="s">
        <v>986</v>
      </c>
      <c r="N203" s="22">
        <f>164.8-104.8</f>
        <v>60.000000000000014</v>
      </c>
      <c r="O203" s="22"/>
      <c r="P203" s="184" t="s">
        <v>1079</v>
      </c>
      <c r="Q203" s="50"/>
    </row>
    <row r="204" spans="1:17">
      <c r="A204" s="184"/>
      <c r="B204" s="193"/>
      <c r="C204" s="193"/>
      <c r="D204" s="184"/>
      <c r="E204" s="194"/>
      <c r="F204" s="194"/>
      <c r="G204" s="194"/>
      <c r="H204" s="184"/>
      <c r="I204" s="19" t="s">
        <v>1372</v>
      </c>
      <c r="J204" s="22">
        <v>19.100000000000001</v>
      </c>
      <c r="K204" s="22">
        <v>8</v>
      </c>
      <c r="L204" s="22" t="s">
        <v>986</v>
      </c>
      <c r="M204" s="22" t="s">
        <v>986</v>
      </c>
      <c r="N204" s="22">
        <v>15.9</v>
      </c>
      <c r="O204" s="22"/>
      <c r="P204" s="184" t="s">
        <v>1079</v>
      </c>
      <c r="Q204" s="50"/>
    </row>
    <row r="205" spans="1:17">
      <c r="A205" s="184"/>
      <c r="B205" s="193"/>
      <c r="C205" s="193"/>
      <c r="D205" s="184"/>
      <c r="E205" s="194"/>
      <c r="F205" s="194"/>
      <c r="G205" s="194"/>
      <c r="H205" s="184"/>
      <c r="I205" s="19" t="s">
        <v>1373</v>
      </c>
      <c r="J205" s="22">
        <v>2.5</v>
      </c>
      <c r="K205" s="22">
        <v>1.8</v>
      </c>
      <c r="L205" s="22">
        <f>(N205/J205)*100</f>
        <v>0</v>
      </c>
      <c r="M205" s="22" t="s">
        <v>986</v>
      </c>
      <c r="N205" s="22">
        <v>0</v>
      </c>
      <c r="O205" s="22"/>
      <c r="P205" s="184" t="s">
        <v>1079</v>
      </c>
      <c r="Q205" s="50"/>
    </row>
    <row r="206" spans="1:17">
      <c r="A206" s="184"/>
      <c r="B206" s="193"/>
      <c r="C206" s="193"/>
      <c r="D206" s="184"/>
      <c r="E206" s="194"/>
      <c r="F206" s="194"/>
      <c r="G206" s="194"/>
      <c r="H206" s="184"/>
      <c r="I206" s="19" t="s">
        <v>1392</v>
      </c>
      <c r="J206" s="22">
        <v>354.8</v>
      </c>
      <c r="K206" s="22">
        <v>47.8</v>
      </c>
      <c r="L206" s="22">
        <f>(N206/J206)*100</f>
        <v>47.153325817361896</v>
      </c>
      <c r="M206" s="22" t="s">
        <v>986</v>
      </c>
      <c r="N206" s="22">
        <f>354.8-187.5</f>
        <v>167.3</v>
      </c>
      <c r="O206" s="22">
        <v>60</v>
      </c>
      <c r="P206" s="184" t="s">
        <v>1079</v>
      </c>
      <c r="Q206" s="50"/>
    </row>
    <row r="207" spans="1:17">
      <c r="A207" s="19" t="s">
        <v>1081</v>
      </c>
      <c r="B207" s="29" t="s">
        <v>963</v>
      </c>
      <c r="C207" s="29" t="s">
        <v>964</v>
      </c>
      <c r="D207" s="19" t="s">
        <v>965</v>
      </c>
      <c r="E207" s="22">
        <v>1995</v>
      </c>
      <c r="F207" s="22">
        <v>9</v>
      </c>
      <c r="G207" s="22">
        <v>4</v>
      </c>
      <c r="H207" s="19" t="s">
        <v>1363</v>
      </c>
      <c r="I207" s="19" t="s">
        <v>1291</v>
      </c>
      <c r="J207" s="22">
        <v>12.4</v>
      </c>
      <c r="K207" s="22">
        <v>1.1000000000000001</v>
      </c>
      <c r="L207" s="22">
        <f>(N207/J207)*100</f>
        <v>95.967741935483872</v>
      </c>
      <c r="M207" s="22" t="s">
        <v>986</v>
      </c>
      <c r="N207" s="22">
        <f>11.9</f>
        <v>11.9</v>
      </c>
      <c r="O207" s="22" t="s">
        <v>986</v>
      </c>
      <c r="P207" s="19" t="s">
        <v>1496</v>
      </c>
      <c r="Q207" s="50"/>
    </row>
    <row r="208" spans="1:17">
      <c r="A208" s="19"/>
      <c r="B208" s="29"/>
      <c r="C208" s="29"/>
      <c r="D208" s="19"/>
      <c r="E208" s="22"/>
      <c r="F208" s="22"/>
      <c r="G208" s="22"/>
      <c r="H208" s="19"/>
      <c r="I208" s="19" t="s">
        <v>1494</v>
      </c>
      <c r="J208" s="22" t="s">
        <v>986</v>
      </c>
      <c r="K208" s="22" t="s">
        <v>986</v>
      </c>
      <c r="L208" s="22" t="s">
        <v>986</v>
      </c>
      <c r="M208" s="22" t="s">
        <v>986</v>
      </c>
      <c r="N208" s="22" t="s">
        <v>986</v>
      </c>
      <c r="O208" s="22" t="s">
        <v>986</v>
      </c>
      <c r="P208" s="19" t="s">
        <v>1496</v>
      </c>
      <c r="Q208" s="50"/>
    </row>
    <row r="209" spans="1:17">
      <c r="A209" s="19"/>
      <c r="B209" s="29"/>
      <c r="C209" s="29"/>
      <c r="D209" s="19"/>
      <c r="E209" s="22"/>
      <c r="F209" s="22"/>
      <c r="G209" s="22"/>
      <c r="H209" s="19"/>
      <c r="I209" s="19" t="s">
        <v>1093</v>
      </c>
      <c r="J209" s="22" t="s">
        <v>986</v>
      </c>
      <c r="K209" s="22" t="s">
        <v>986</v>
      </c>
      <c r="L209" s="22" t="s">
        <v>986</v>
      </c>
      <c r="M209" s="22" t="s">
        <v>986</v>
      </c>
      <c r="N209" s="22" t="s">
        <v>986</v>
      </c>
      <c r="O209" s="22" t="s">
        <v>986</v>
      </c>
      <c r="P209" s="19" t="s">
        <v>1496</v>
      </c>
      <c r="Q209" s="50"/>
    </row>
    <row r="210" spans="1:17">
      <c r="A210" s="19"/>
      <c r="B210" s="29"/>
      <c r="C210" s="29"/>
      <c r="D210" s="19"/>
      <c r="E210" s="22"/>
      <c r="F210" s="22"/>
      <c r="G210" s="22"/>
      <c r="H210" s="19"/>
      <c r="I210" s="19" t="s">
        <v>1282</v>
      </c>
      <c r="J210" s="22">
        <v>0.5</v>
      </c>
      <c r="K210" s="22">
        <v>0.3</v>
      </c>
      <c r="L210" s="22">
        <f>(N210/J210)*100</f>
        <v>80</v>
      </c>
      <c r="M210" s="22" t="s">
        <v>986</v>
      </c>
      <c r="N210" s="22">
        <v>0.4</v>
      </c>
      <c r="O210" s="22" t="s">
        <v>986</v>
      </c>
      <c r="P210" s="19" t="s">
        <v>1496</v>
      </c>
      <c r="Q210" s="50"/>
    </row>
    <row r="211" spans="1:17">
      <c r="A211" s="19"/>
      <c r="B211" s="29"/>
      <c r="C211" s="29"/>
      <c r="D211" s="19"/>
      <c r="E211" s="22"/>
      <c r="F211" s="22"/>
      <c r="G211" s="22"/>
      <c r="H211" s="19"/>
      <c r="I211" s="19" t="s">
        <v>1495</v>
      </c>
      <c r="J211" s="22">
        <v>3.2</v>
      </c>
      <c r="K211" s="22">
        <v>0.8</v>
      </c>
      <c r="L211" s="22" t="s">
        <v>986</v>
      </c>
      <c r="M211" s="22" t="s">
        <v>986</v>
      </c>
      <c r="N211" s="22">
        <v>3.2</v>
      </c>
      <c r="O211" s="22" t="s">
        <v>986</v>
      </c>
      <c r="P211" s="19" t="s">
        <v>1496</v>
      </c>
      <c r="Q211" s="50"/>
    </row>
    <row r="212" spans="1:17">
      <c r="A212" s="19"/>
      <c r="B212" s="29"/>
      <c r="C212" s="29"/>
      <c r="D212" s="19"/>
      <c r="E212" s="22"/>
      <c r="F212" s="22"/>
      <c r="G212" s="22"/>
      <c r="H212" s="19"/>
      <c r="I212" s="19" t="s">
        <v>1073</v>
      </c>
      <c r="J212" s="22">
        <v>7.9</v>
      </c>
      <c r="K212" s="22">
        <v>1</v>
      </c>
      <c r="L212" s="22">
        <f t="shared" ref="L212:L217" si="18">(N212/J212)*100</f>
        <v>94.936708860759495</v>
      </c>
      <c r="M212" s="22" t="s">
        <v>986</v>
      </c>
      <c r="N212" s="22">
        <v>7.5</v>
      </c>
      <c r="O212" s="22" t="s">
        <v>986</v>
      </c>
      <c r="P212" s="19" t="s">
        <v>1496</v>
      </c>
      <c r="Q212" s="50"/>
    </row>
    <row r="213" spans="1:17">
      <c r="A213" s="19"/>
      <c r="B213" s="29"/>
      <c r="C213" s="29"/>
      <c r="D213" s="19"/>
      <c r="E213" s="22"/>
      <c r="F213" s="22"/>
      <c r="G213" s="22"/>
      <c r="H213" s="19"/>
      <c r="I213" s="19" t="s">
        <v>1251</v>
      </c>
      <c r="J213" s="22">
        <v>4.7</v>
      </c>
      <c r="K213" s="22">
        <v>0.6</v>
      </c>
      <c r="L213" s="22">
        <f t="shared" si="18"/>
        <v>95.744680851063819</v>
      </c>
      <c r="M213" s="22" t="s">
        <v>986</v>
      </c>
      <c r="N213" s="22">
        <v>4.5</v>
      </c>
      <c r="O213" s="22" t="s">
        <v>986</v>
      </c>
      <c r="P213" s="19" t="s">
        <v>1496</v>
      </c>
      <c r="Q213" s="50"/>
    </row>
    <row r="214" spans="1:17">
      <c r="A214" s="19"/>
      <c r="B214" s="29"/>
      <c r="C214" s="29"/>
      <c r="D214" s="19"/>
      <c r="E214" s="22"/>
      <c r="F214" s="22"/>
      <c r="G214" s="22"/>
      <c r="H214" s="19"/>
      <c r="I214" s="19" t="s">
        <v>1478</v>
      </c>
      <c r="J214" s="22">
        <v>15.6</v>
      </c>
      <c r="K214" s="22">
        <v>1.6</v>
      </c>
      <c r="L214" s="22">
        <f t="shared" si="18"/>
        <v>90.384615384615387</v>
      </c>
      <c r="M214" s="22" t="s">
        <v>986</v>
      </c>
      <c r="N214" s="22">
        <v>14.1</v>
      </c>
      <c r="O214" s="22" t="s">
        <v>986</v>
      </c>
      <c r="P214" s="19" t="s">
        <v>1496</v>
      </c>
      <c r="Q214" s="50"/>
    </row>
    <row r="215" spans="1:17">
      <c r="A215" s="19"/>
      <c r="B215" s="29"/>
      <c r="C215" s="29"/>
      <c r="D215" s="19"/>
      <c r="E215" s="22"/>
      <c r="F215" s="22"/>
      <c r="G215" s="22"/>
      <c r="H215" s="19"/>
      <c r="I215" s="19" t="s">
        <v>1247</v>
      </c>
      <c r="J215" s="22">
        <v>59.8</v>
      </c>
      <c r="K215" s="22">
        <v>7.9</v>
      </c>
      <c r="L215" s="22">
        <f t="shared" si="18"/>
        <v>79.933110367892979</v>
      </c>
      <c r="M215" s="22" t="s">
        <v>986</v>
      </c>
      <c r="N215" s="22">
        <v>47.8</v>
      </c>
      <c r="O215" s="22" t="s">
        <v>986</v>
      </c>
      <c r="P215" s="19" t="s">
        <v>1496</v>
      </c>
      <c r="Q215" s="50"/>
    </row>
    <row r="216" spans="1:17">
      <c r="A216" s="19"/>
      <c r="B216" s="29"/>
      <c r="C216" s="29"/>
      <c r="D216" s="19"/>
      <c r="E216" s="22"/>
      <c r="F216" s="22"/>
      <c r="G216" s="22"/>
      <c r="H216" s="19"/>
      <c r="I216" s="19" t="s">
        <v>1588</v>
      </c>
      <c r="J216" s="22">
        <v>83.7</v>
      </c>
      <c r="K216" s="22">
        <v>9.6</v>
      </c>
      <c r="L216" s="22">
        <f t="shared" si="18"/>
        <v>37.156511350059738</v>
      </c>
      <c r="M216" s="22" t="s">
        <v>986</v>
      </c>
      <c r="N216" s="22">
        <f>83.7-52.6</f>
        <v>31.1</v>
      </c>
      <c r="O216" s="22" t="s">
        <v>986</v>
      </c>
      <c r="P216" s="19" t="s">
        <v>1496</v>
      </c>
      <c r="Q216" s="50"/>
    </row>
    <row r="217" spans="1:17">
      <c r="A217" s="19"/>
      <c r="B217" s="29"/>
      <c r="C217" s="29"/>
      <c r="D217" s="19"/>
      <c r="E217" s="22"/>
      <c r="F217" s="22"/>
      <c r="G217" s="22"/>
      <c r="H217" s="19"/>
      <c r="I217" s="19" t="s">
        <v>1283</v>
      </c>
      <c r="J217" s="22">
        <v>3</v>
      </c>
      <c r="K217" s="22">
        <v>1.3</v>
      </c>
      <c r="L217" s="22">
        <f t="shared" si="18"/>
        <v>96.666666666666671</v>
      </c>
      <c r="M217" s="22" t="s">
        <v>986</v>
      </c>
      <c r="N217" s="22">
        <v>2.9</v>
      </c>
      <c r="O217" s="22" t="s">
        <v>986</v>
      </c>
      <c r="P217" s="19" t="s">
        <v>1496</v>
      </c>
      <c r="Q217" s="50"/>
    </row>
    <row r="218" spans="1:17">
      <c r="A218" s="19"/>
      <c r="B218" s="29"/>
      <c r="C218" s="29"/>
      <c r="D218" s="19"/>
      <c r="E218" s="22"/>
      <c r="F218" s="22"/>
      <c r="G218" s="22"/>
      <c r="H218" s="19"/>
      <c r="I218" s="19" t="s">
        <v>1467</v>
      </c>
      <c r="J218" s="22">
        <v>206.1</v>
      </c>
      <c r="K218" s="22">
        <v>39.5</v>
      </c>
      <c r="L218" s="22" t="s">
        <v>986</v>
      </c>
      <c r="M218" s="22" t="s">
        <v>986</v>
      </c>
      <c r="N218" s="22">
        <f>206.1-117.2</f>
        <v>88.899999999999991</v>
      </c>
      <c r="O218" s="22" t="s">
        <v>986</v>
      </c>
      <c r="P218" s="19" t="s">
        <v>1496</v>
      </c>
      <c r="Q218" s="50"/>
    </row>
    <row r="219" spans="1:17">
      <c r="A219" s="19"/>
      <c r="B219" s="29"/>
      <c r="C219" s="29"/>
      <c r="D219" s="19"/>
      <c r="E219" s="22"/>
      <c r="F219" s="22"/>
      <c r="G219" s="22"/>
      <c r="H219" s="19"/>
      <c r="I219" s="19" t="s">
        <v>1372</v>
      </c>
      <c r="J219" s="22">
        <v>0.7</v>
      </c>
      <c r="K219" s="22">
        <v>0</v>
      </c>
      <c r="L219" s="22">
        <f>(N219/J219)*100</f>
        <v>100</v>
      </c>
      <c r="M219" s="22" t="s">
        <v>986</v>
      </c>
      <c r="N219" s="22">
        <v>0.7</v>
      </c>
      <c r="O219" s="22" t="s">
        <v>986</v>
      </c>
      <c r="P219" s="19" t="s">
        <v>1496</v>
      </c>
      <c r="Q219" s="50"/>
    </row>
    <row r="220" spans="1:17">
      <c r="A220" s="19"/>
      <c r="B220" s="29"/>
      <c r="C220" s="29"/>
      <c r="D220" s="19"/>
      <c r="E220" s="22"/>
      <c r="F220" s="22"/>
      <c r="G220" s="22"/>
      <c r="H220" s="19"/>
      <c r="I220" s="19" t="s">
        <v>1373</v>
      </c>
      <c r="J220" s="22">
        <v>1.1000000000000001</v>
      </c>
      <c r="K220" s="22">
        <v>0</v>
      </c>
      <c r="L220" s="22">
        <f>(N220/J220)*100</f>
        <v>45.454545454545453</v>
      </c>
      <c r="M220" s="22" t="s">
        <v>986</v>
      </c>
      <c r="N220" s="22">
        <v>0.5</v>
      </c>
      <c r="O220" s="22" t="s">
        <v>986</v>
      </c>
      <c r="P220" s="19" t="s">
        <v>1496</v>
      </c>
      <c r="Q220" s="50"/>
    </row>
    <row r="221" spans="1:17" ht="14" thickBot="1">
      <c r="A221" s="19"/>
      <c r="B221" s="29"/>
      <c r="C221" s="29"/>
      <c r="D221" s="19"/>
      <c r="E221" s="22"/>
      <c r="F221" s="22"/>
      <c r="G221" s="22"/>
      <c r="H221" s="19"/>
      <c r="I221" s="38" t="s">
        <v>1392</v>
      </c>
      <c r="J221" s="45">
        <v>398.8</v>
      </c>
      <c r="K221" s="45">
        <v>44.7</v>
      </c>
      <c r="L221" s="45">
        <f>(N221/J221)*100</f>
        <v>53.560682046138417</v>
      </c>
      <c r="M221" s="45" t="s">
        <v>986</v>
      </c>
      <c r="N221" s="45">
        <f>398.8-185.2</f>
        <v>213.60000000000002</v>
      </c>
      <c r="O221" s="45" t="s">
        <v>986</v>
      </c>
      <c r="P221" s="19" t="s">
        <v>1496</v>
      </c>
      <c r="Q221" s="50"/>
    </row>
    <row r="222" spans="1:17" ht="15">
      <c r="I222" s="47" t="s">
        <v>544</v>
      </c>
      <c r="J222" s="51">
        <f>ROUND(AVERAGE(J192,J207),1)</f>
        <v>9.9</v>
      </c>
      <c r="K222" s="51">
        <f>ROUND(STDEV(J192,J207),1)</f>
        <v>3.6</v>
      </c>
      <c r="L222" s="51">
        <f>ROUND(AVERAGE(L192,L207),1)</f>
        <v>98</v>
      </c>
      <c r="M222" s="51">
        <f>ROUND(STDEV(L192,L207),1)</f>
        <v>2.9</v>
      </c>
      <c r="N222" s="51">
        <f>ROUND(AVERAGE(N192,N207),1)</f>
        <v>9.6</v>
      </c>
      <c r="O222" s="52">
        <f>ROUND(STDEV(N192,N207),1)</f>
        <v>3.3</v>
      </c>
    </row>
    <row r="223" spans="1:17" ht="15">
      <c r="I223" s="48" t="s">
        <v>1494</v>
      </c>
      <c r="J223" s="53" t="s">
        <v>756</v>
      </c>
      <c r="K223" s="53" t="s">
        <v>756</v>
      </c>
      <c r="L223" s="53" t="s">
        <v>493</v>
      </c>
      <c r="M223" s="53" t="s">
        <v>756</v>
      </c>
      <c r="N223" s="53" t="s">
        <v>663</v>
      </c>
      <c r="O223" s="54" t="s">
        <v>756</v>
      </c>
    </row>
    <row r="224" spans="1:17" ht="15">
      <c r="I224" s="48" t="s">
        <v>1093</v>
      </c>
      <c r="J224" s="53" t="s">
        <v>756</v>
      </c>
      <c r="K224" s="53" t="s">
        <v>909</v>
      </c>
      <c r="L224" s="53" t="s">
        <v>910</v>
      </c>
      <c r="M224" s="53" t="s">
        <v>756</v>
      </c>
      <c r="N224" s="53" t="s">
        <v>756</v>
      </c>
      <c r="O224" s="54" t="s">
        <v>756</v>
      </c>
    </row>
    <row r="225" spans="1:17" ht="15">
      <c r="I225" s="48" t="s">
        <v>1282</v>
      </c>
      <c r="J225" s="53">
        <f t="shared" ref="J225:J236" si="19">ROUND(AVERAGE(J195,J210),1)</f>
        <v>0.4</v>
      </c>
      <c r="K225" s="53">
        <f t="shared" ref="K225:K236" si="20">ROUND(STDEV(J195,J210),1)</f>
        <v>0.2</v>
      </c>
      <c r="L225" s="53">
        <f t="shared" ref="L225:L236" si="21">ROUND(AVERAGE(L195,L210),1)</f>
        <v>90</v>
      </c>
      <c r="M225" s="53">
        <f>ROUND(STDEV(L195,L210),1)</f>
        <v>14.1</v>
      </c>
      <c r="N225" s="53">
        <f t="shared" ref="N225:N236" si="22">ROUND(AVERAGE(N195,N210),1)</f>
        <v>0.3</v>
      </c>
      <c r="O225" s="54">
        <f t="shared" ref="O225:O236" si="23">ROUND(STDEV(N195,N210),1)</f>
        <v>0.1</v>
      </c>
    </row>
    <row r="226" spans="1:17" ht="15">
      <c r="I226" s="48" t="s">
        <v>1497</v>
      </c>
      <c r="J226" s="53">
        <f t="shared" si="19"/>
        <v>5.0999999999999996</v>
      </c>
      <c r="K226" s="53">
        <f t="shared" si="20"/>
        <v>2.6</v>
      </c>
      <c r="L226" s="53">
        <f t="shared" si="21"/>
        <v>100</v>
      </c>
      <c r="M226" s="53" t="s">
        <v>756</v>
      </c>
      <c r="N226" s="53">
        <f t="shared" si="22"/>
        <v>5.0999999999999996</v>
      </c>
      <c r="O226" s="54">
        <f t="shared" si="23"/>
        <v>2.6</v>
      </c>
    </row>
    <row r="227" spans="1:17" ht="15">
      <c r="I227" s="48" t="s">
        <v>1073</v>
      </c>
      <c r="J227" s="53">
        <f t="shared" si="19"/>
        <v>8.4</v>
      </c>
      <c r="K227" s="53">
        <f t="shared" si="20"/>
        <v>0.7</v>
      </c>
      <c r="L227" s="53">
        <f t="shared" si="21"/>
        <v>91.9</v>
      </c>
      <c r="M227" s="53">
        <f>ROUND(STDEV(L197,L212),1)</f>
        <v>4.4000000000000004</v>
      </c>
      <c r="N227" s="53">
        <f t="shared" si="22"/>
        <v>7.7</v>
      </c>
      <c r="O227" s="54">
        <f t="shared" si="23"/>
        <v>0.3</v>
      </c>
    </row>
    <row r="228" spans="1:17" ht="15">
      <c r="I228" s="48" t="s">
        <v>1251</v>
      </c>
      <c r="J228" s="53">
        <f t="shared" si="19"/>
        <v>4.7</v>
      </c>
      <c r="K228" s="53">
        <f t="shared" si="20"/>
        <v>0.1</v>
      </c>
      <c r="L228" s="53">
        <f t="shared" si="21"/>
        <v>92.4</v>
      </c>
      <c r="M228" s="53">
        <f>ROUND(STDEV(L198,L213),1)</f>
        <v>4.7</v>
      </c>
      <c r="N228" s="53">
        <f t="shared" si="22"/>
        <v>4.3</v>
      </c>
      <c r="O228" s="54">
        <f t="shared" si="23"/>
        <v>0.3</v>
      </c>
    </row>
    <row r="229" spans="1:17" ht="15">
      <c r="I229" s="48" t="s">
        <v>1478</v>
      </c>
      <c r="J229" s="53">
        <f t="shared" si="19"/>
        <v>16.8</v>
      </c>
      <c r="K229" s="53">
        <f t="shared" si="20"/>
        <v>1.6</v>
      </c>
      <c r="L229" s="53">
        <f t="shared" si="21"/>
        <v>90.4</v>
      </c>
      <c r="M229" s="53" t="s">
        <v>756</v>
      </c>
      <c r="N229" s="53">
        <f t="shared" si="22"/>
        <v>14.9</v>
      </c>
      <c r="O229" s="54">
        <f t="shared" si="23"/>
        <v>1.1000000000000001</v>
      </c>
    </row>
    <row r="230" spans="1:17" ht="15">
      <c r="I230" s="48" t="s">
        <v>1247</v>
      </c>
      <c r="J230" s="53">
        <f t="shared" si="19"/>
        <v>53.4</v>
      </c>
      <c r="K230" s="53">
        <f t="shared" si="20"/>
        <v>9.1</v>
      </c>
      <c r="L230" s="53">
        <f t="shared" si="21"/>
        <v>77.2</v>
      </c>
      <c r="M230" s="53">
        <f>ROUND(STDEV(L200,L215),1)</f>
        <v>3.9</v>
      </c>
      <c r="N230" s="53">
        <f t="shared" si="22"/>
        <v>41.4</v>
      </c>
      <c r="O230" s="54">
        <f t="shared" si="23"/>
        <v>9.1</v>
      </c>
    </row>
    <row r="231" spans="1:17" ht="15">
      <c r="I231" s="48" t="s">
        <v>1588</v>
      </c>
      <c r="J231" s="53">
        <f t="shared" si="19"/>
        <v>78.599999999999994</v>
      </c>
      <c r="K231" s="53">
        <f t="shared" si="20"/>
        <v>7.2</v>
      </c>
      <c r="L231" s="53">
        <f t="shared" si="21"/>
        <v>26.9</v>
      </c>
      <c r="M231" s="53">
        <f>ROUND(STDEV(L201,L216),1)</f>
        <v>14.5</v>
      </c>
      <c r="N231" s="53">
        <f t="shared" si="22"/>
        <v>21.7</v>
      </c>
      <c r="O231" s="54">
        <f t="shared" si="23"/>
        <v>13.4</v>
      </c>
    </row>
    <row r="232" spans="1:17" ht="15">
      <c r="I232" s="48" t="s">
        <v>1480</v>
      </c>
      <c r="J232" s="53">
        <f t="shared" si="19"/>
        <v>2.6</v>
      </c>
      <c r="K232" s="53">
        <f t="shared" si="20"/>
        <v>0.6</v>
      </c>
      <c r="L232" s="53">
        <f t="shared" si="21"/>
        <v>98.3</v>
      </c>
      <c r="M232" s="53">
        <f>ROUND(STDEV(L202,L217),1)</f>
        <v>2.4</v>
      </c>
      <c r="N232" s="53">
        <f t="shared" si="22"/>
        <v>2.5</v>
      </c>
      <c r="O232" s="54">
        <f t="shared" si="23"/>
        <v>0.6</v>
      </c>
    </row>
    <row r="233" spans="1:17" ht="15">
      <c r="I233" s="48" t="s">
        <v>1103</v>
      </c>
      <c r="J233" s="53">
        <f t="shared" si="19"/>
        <v>185.5</v>
      </c>
      <c r="K233" s="53">
        <f t="shared" si="20"/>
        <v>29.2</v>
      </c>
      <c r="L233" s="53">
        <f t="shared" si="21"/>
        <v>36.4</v>
      </c>
      <c r="M233" s="53" t="s">
        <v>909</v>
      </c>
      <c r="N233" s="53">
        <f t="shared" si="22"/>
        <v>74.5</v>
      </c>
      <c r="O233" s="54">
        <f t="shared" si="23"/>
        <v>20.399999999999999</v>
      </c>
    </row>
    <row r="234" spans="1:17" ht="15">
      <c r="I234" s="48" t="s">
        <v>1102</v>
      </c>
      <c r="J234" s="53">
        <f t="shared" si="19"/>
        <v>9.9</v>
      </c>
      <c r="K234" s="53">
        <f t="shared" si="20"/>
        <v>13</v>
      </c>
      <c r="L234" s="53">
        <f t="shared" si="21"/>
        <v>100</v>
      </c>
      <c r="M234" s="53" t="s">
        <v>664</v>
      </c>
      <c r="N234" s="53">
        <f t="shared" si="22"/>
        <v>8.3000000000000007</v>
      </c>
      <c r="O234" s="54">
        <f t="shared" si="23"/>
        <v>10.7</v>
      </c>
    </row>
    <row r="235" spans="1:17" ht="15">
      <c r="I235" s="48" t="s">
        <v>1396</v>
      </c>
      <c r="J235" s="53">
        <f t="shared" si="19"/>
        <v>1.8</v>
      </c>
      <c r="K235" s="53">
        <f t="shared" si="20"/>
        <v>1</v>
      </c>
      <c r="L235" s="53">
        <f t="shared" si="21"/>
        <v>22.7</v>
      </c>
      <c r="M235" s="53">
        <f>ROUND(STDEV(L205,L220),1)</f>
        <v>32.1</v>
      </c>
      <c r="N235" s="53">
        <f t="shared" si="22"/>
        <v>0.3</v>
      </c>
      <c r="O235" s="54">
        <f t="shared" si="23"/>
        <v>0.4</v>
      </c>
    </row>
    <row r="236" spans="1:17" ht="16" thickBot="1">
      <c r="I236" s="49" t="s">
        <v>1399</v>
      </c>
      <c r="J236" s="55">
        <f t="shared" si="19"/>
        <v>376.8</v>
      </c>
      <c r="K236" s="55">
        <f t="shared" si="20"/>
        <v>31.1</v>
      </c>
      <c r="L236" s="55">
        <f t="shared" si="21"/>
        <v>50.4</v>
      </c>
      <c r="M236" s="55">
        <f>ROUND(STDEV(L206,L221),1)</f>
        <v>4.5</v>
      </c>
      <c r="N236" s="55">
        <f t="shared" si="22"/>
        <v>190.5</v>
      </c>
      <c r="O236" s="56">
        <f t="shared" si="23"/>
        <v>32.700000000000003</v>
      </c>
    </row>
    <row r="237" spans="1:17" s="58" customFormat="1">
      <c r="A237" s="3"/>
      <c r="B237" s="5"/>
      <c r="C237" s="5"/>
      <c r="D237" s="3"/>
      <c r="E237" s="74"/>
      <c r="F237" s="74"/>
      <c r="G237" s="74"/>
      <c r="H237" s="3"/>
      <c r="I237" s="3"/>
      <c r="J237" s="74"/>
      <c r="K237" s="74"/>
      <c r="L237" s="74"/>
      <c r="M237" s="74"/>
      <c r="N237" s="74"/>
      <c r="O237" s="74"/>
      <c r="P237" s="3"/>
      <c r="Q237" s="3"/>
    </row>
    <row r="238" spans="1:17">
      <c r="A238" s="296"/>
      <c r="B238" s="296"/>
      <c r="C238" s="296"/>
      <c r="D238" s="296"/>
      <c r="E238" s="301"/>
      <c r="F238" s="301"/>
      <c r="G238" s="301"/>
      <c r="H238" s="296"/>
      <c r="I238" s="300"/>
      <c r="J238" s="301"/>
      <c r="K238" s="301"/>
      <c r="L238" s="301"/>
      <c r="M238" s="301"/>
      <c r="N238" s="301"/>
      <c r="O238" s="301"/>
      <c r="P238" s="296"/>
    </row>
    <row r="239" spans="1:17" ht="14" thickBot="1"/>
    <row r="240" spans="1:17" ht="15">
      <c r="A240" s="19" t="s">
        <v>1580</v>
      </c>
      <c r="B240" s="29" t="s">
        <v>1201</v>
      </c>
      <c r="C240" s="29" t="s">
        <v>1097</v>
      </c>
      <c r="D240" s="19" t="s">
        <v>1581</v>
      </c>
      <c r="E240" s="22">
        <v>1995</v>
      </c>
      <c r="F240" s="22">
        <v>10</v>
      </c>
      <c r="G240" s="22" t="s">
        <v>1046</v>
      </c>
      <c r="H240" s="27" t="s">
        <v>1363</v>
      </c>
      <c r="I240" s="47" t="s">
        <v>1381</v>
      </c>
      <c r="J240" s="51">
        <v>198.6</v>
      </c>
      <c r="K240" s="51" t="s">
        <v>1046</v>
      </c>
      <c r="L240" s="51">
        <v>0.21</v>
      </c>
      <c r="M240" s="51" t="s">
        <v>1046</v>
      </c>
      <c r="N240" s="51">
        <f t="shared" ref="N240:N249" si="24">ROUND(J240*(L240/100),1)</f>
        <v>0.4</v>
      </c>
      <c r="O240" s="52" t="s">
        <v>986</v>
      </c>
      <c r="P240" s="30" t="s">
        <v>1382</v>
      </c>
      <c r="Q240" s="50"/>
    </row>
    <row r="241" spans="1:17" ht="15">
      <c r="A241" s="19"/>
      <c r="B241" s="29"/>
      <c r="C241" s="29"/>
      <c r="D241" s="19"/>
      <c r="E241" s="22"/>
      <c r="F241" s="22"/>
      <c r="G241" s="22"/>
      <c r="H241" s="27"/>
      <c r="I241" s="48" t="s">
        <v>1511</v>
      </c>
      <c r="J241" s="53">
        <v>39.299999999999997</v>
      </c>
      <c r="K241" s="53" t="s">
        <v>1512</v>
      </c>
      <c r="L241" s="53">
        <v>0.43</v>
      </c>
      <c r="M241" s="53" t="s">
        <v>1512</v>
      </c>
      <c r="N241" s="53">
        <f t="shared" si="24"/>
        <v>0.2</v>
      </c>
      <c r="O241" s="54" t="s">
        <v>1512</v>
      </c>
      <c r="P241" s="30" t="s">
        <v>1382</v>
      </c>
      <c r="Q241" s="50"/>
    </row>
    <row r="242" spans="1:17" ht="15">
      <c r="A242" s="19"/>
      <c r="B242" s="29"/>
      <c r="C242" s="29"/>
      <c r="D242" s="19"/>
      <c r="E242" s="22"/>
      <c r="F242" s="22"/>
      <c r="G242" s="22"/>
      <c r="H242" s="27"/>
      <c r="I242" s="48" t="s">
        <v>1513</v>
      </c>
      <c r="J242" s="53">
        <v>76</v>
      </c>
      <c r="K242" s="53" t="s">
        <v>1512</v>
      </c>
      <c r="L242" s="53">
        <v>0.83</v>
      </c>
      <c r="M242" s="53" t="s">
        <v>1512</v>
      </c>
      <c r="N242" s="53">
        <f t="shared" si="24"/>
        <v>0.6</v>
      </c>
      <c r="O242" s="54" t="s">
        <v>1512</v>
      </c>
      <c r="P242" s="30" t="s">
        <v>1382</v>
      </c>
      <c r="Q242" s="50"/>
    </row>
    <row r="243" spans="1:17" ht="15">
      <c r="A243" s="19"/>
      <c r="B243" s="29"/>
      <c r="C243" s="29"/>
      <c r="D243" s="19"/>
      <c r="E243" s="22"/>
      <c r="F243" s="22"/>
      <c r="G243" s="22"/>
      <c r="H243" s="27"/>
      <c r="I243" s="48" t="s">
        <v>1514</v>
      </c>
      <c r="J243" s="53">
        <v>41.9</v>
      </c>
      <c r="K243" s="53" t="s">
        <v>1512</v>
      </c>
      <c r="L243" s="53">
        <v>9.07</v>
      </c>
      <c r="M243" s="53" t="s">
        <v>1512</v>
      </c>
      <c r="N243" s="53">
        <f t="shared" si="24"/>
        <v>3.8</v>
      </c>
      <c r="O243" s="54" t="s">
        <v>1512</v>
      </c>
      <c r="P243" s="30" t="s">
        <v>1382</v>
      </c>
      <c r="Q243" s="50"/>
    </row>
    <row r="244" spans="1:17" ht="15">
      <c r="A244" s="19"/>
      <c r="B244" s="29"/>
      <c r="C244" s="29"/>
      <c r="D244" s="19"/>
      <c r="E244" s="22"/>
      <c r="F244" s="22"/>
      <c r="G244" s="22"/>
      <c r="H244" s="27"/>
      <c r="I244" s="48" t="s">
        <v>1515</v>
      </c>
      <c r="J244" s="53">
        <v>9.3000000000000007</v>
      </c>
      <c r="K244" s="53" t="s">
        <v>1512</v>
      </c>
      <c r="L244" s="53">
        <v>2.0099999999999998</v>
      </c>
      <c r="M244" s="53" t="s">
        <v>1512</v>
      </c>
      <c r="N244" s="53">
        <f t="shared" si="24"/>
        <v>0.2</v>
      </c>
      <c r="O244" s="54" t="s">
        <v>1512</v>
      </c>
      <c r="P244" s="30" t="s">
        <v>1382</v>
      </c>
      <c r="Q244" s="50"/>
    </row>
    <row r="245" spans="1:17" ht="15">
      <c r="A245" s="19"/>
      <c r="B245" s="29"/>
      <c r="C245" s="29"/>
      <c r="D245" s="19"/>
      <c r="E245" s="22"/>
      <c r="F245" s="22"/>
      <c r="G245" s="22"/>
      <c r="H245" s="27"/>
      <c r="I245" s="48" t="s">
        <v>1635</v>
      </c>
      <c r="J245" s="53">
        <v>4.5999999999999996</v>
      </c>
      <c r="K245" s="53" t="s">
        <v>1512</v>
      </c>
      <c r="L245" s="53">
        <v>1</v>
      </c>
      <c r="M245" s="53" t="s">
        <v>1512</v>
      </c>
      <c r="N245" s="53">
        <f t="shared" si="24"/>
        <v>0</v>
      </c>
      <c r="O245" s="54" t="s">
        <v>1512</v>
      </c>
      <c r="P245" s="30" t="s">
        <v>1382</v>
      </c>
      <c r="Q245" s="50"/>
    </row>
    <row r="246" spans="1:17" ht="15">
      <c r="A246" s="19"/>
      <c r="B246" s="29"/>
      <c r="C246" s="29"/>
      <c r="D246" s="19"/>
      <c r="E246" s="22"/>
      <c r="F246" s="22"/>
      <c r="G246" s="22"/>
      <c r="H246" s="27"/>
      <c r="I246" s="48" t="s">
        <v>544</v>
      </c>
      <c r="J246" s="53">
        <v>25.7</v>
      </c>
      <c r="K246" s="53" t="s">
        <v>1512</v>
      </c>
      <c r="L246" s="53">
        <v>5.6</v>
      </c>
      <c r="M246" s="53" t="s">
        <v>1512</v>
      </c>
      <c r="N246" s="53">
        <f t="shared" si="24"/>
        <v>1.4</v>
      </c>
      <c r="O246" s="54" t="s">
        <v>1512</v>
      </c>
      <c r="P246" s="30" t="s">
        <v>1382</v>
      </c>
      <c r="Q246" s="50"/>
    </row>
    <row r="247" spans="1:17" ht="15">
      <c r="A247" s="19"/>
      <c r="B247" s="29"/>
      <c r="C247" s="29"/>
      <c r="D247" s="19"/>
      <c r="E247" s="22"/>
      <c r="F247" s="22"/>
      <c r="G247" s="22"/>
      <c r="H247" s="27"/>
      <c r="I247" s="48" t="s">
        <v>1211</v>
      </c>
      <c r="J247" s="53">
        <v>5.6</v>
      </c>
      <c r="K247" s="53" t="s">
        <v>1512</v>
      </c>
      <c r="L247" s="53">
        <v>1.21</v>
      </c>
      <c r="M247" s="53" t="s">
        <v>1512</v>
      </c>
      <c r="N247" s="53">
        <f t="shared" si="24"/>
        <v>0.1</v>
      </c>
      <c r="O247" s="54" t="s">
        <v>1512</v>
      </c>
      <c r="P247" s="30" t="s">
        <v>1382</v>
      </c>
      <c r="Q247" s="50"/>
    </row>
    <row r="248" spans="1:17" ht="15">
      <c r="A248" s="19"/>
      <c r="B248" s="29"/>
      <c r="C248" s="29"/>
      <c r="D248" s="19"/>
      <c r="E248" s="22"/>
      <c r="F248" s="22"/>
      <c r="G248" s="22"/>
      <c r="H248" s="27"/>
      <c r="I248" s="48" t="s">
        <v>1516</v>
      </c>
      <c r="J248" s="53">
        <v>0.5</v>
      </c>
      <c r="K248" s="53" t="s">
        <v>1512</v>
      </c>
      <c r="L248" s="53">
        <v>0.11</v>
      </c>
      <c r="M248" s="53" t="s">
        <v>1512</v>
      </c>
      <c r="N248" s="53">
        <f t="shared" si="24"/>
        <v>0</v>
      </c>
      <c r="O248" s="54" t="s">
        <v>986</v>
      </c>
      <c r="P248" s="30" t="s">
        <v>1382</v>
      </c>
      <c r="Q248" s="50"/>
    </row>
    <row r="249" spans="1:17" ht="16" thickBot="1">
      <c r="A249" s="19"/>
      <c r="B249" s="29"/>
      <c r="C249" s="29"/>
      <c r="D249" s="19"/>
      <c r="E249" s="22"/>
      <c r="F249" s="22"/>
      <c r="G249" s="22"/>
      <c r="H249" s="27"/>
      <c r="I249" s="49" t="s">
        <v>485</v>
      </c>
      <c r="J249" s="55">
        <v>401.5</v>
      </c>
      <c r="K249" s="55" t="s">
        <v>986</v>
      </c>
      <c r="L249" s="55">
        <v>20.47</v>
      </c>
      <c r="M249" s="55" t="s">
        <v>986</v>
      </c>
      <c r="N249" s="55">
        <f t="shared" si="24"/>
        <v>82.2</v>
      </c>
      <c r="O249" s="56" t="s">
        <v>986</v>
      </c>
      <c r="P249" s="30" t="s">
        <v>1382</v>
      </c>
      <c r="Q249" s="50"/>
    </row>
    <row r="250" spans="1:17" s="58" customFormat="1">
      <c r="A250" s="3"/>
      <c r="B250" s="5"/>
      <c r="C250" s="5"/>
      <c r="D250" s="3"/>
      <c r="E250" s="74"/>
      <c r="F250" s="74"/>
      <c r="G250" s="74"/>
      <c r="H250" s="3"/>
      <c r="I250" s="3"/>
      <c r="J250" s="74"/>
      <c r="K250" s="74"/>
      <c r="L250" s="74"/>
      <c r="M250" s="74"/>
      <c r="N250" s="74"/>
      <c r="O250" s="74"/>
      <c r="P250" s="3"/>
      <c r="Q250" s="73"/>
    </row>
    <row r="251" spans="1:17" s="58" customFormat="1">
      <c r="A251" s="293"/>
      <c r="B251" s="297"/>
      <c r="C251" s="297"/>
      <c r="D251" s="293"/>
      <c r="E251" s="292"/>
      <c r="F251" s="292"/>
      <c r="G251" s="292"/>
      <c r="H251" s="293"/>
      <c r="I251" s="293"/>
      <c r="J251" s="292"/>
      <c r="K251" s="292"/>
      <c r="L251" s="292"/>
      <c r="M251" s="292"/>
      <c r="N251" s="292"/>
      <c r="O251" s="292"/>
      <c r="P251" s="293"/>
      <c r="Q251" s="73"/>
    </row>
    <row r="252" spans="1:17" s="58" customFormat="1" ht="14" thickBot="1">
      <c r="A252" s="3"/>
      <c r="B252" s="5"/>
      <c r="C252" s="5"/>
      <c r="D252" s="3"/>
      <c r="E252" s="74"/>
      <c r="F252" s="74"/>
      <c r="G252" s="74"/>
      <c r="H252" s="3"/>
      <c r="I252" s="3"/>
      <c r="J252" s="74"/>
      <c r="K252" s="74"/>
      <c r="L252" s="74"/>
      <c r="M252" s="74"/>
      <c r="N252" s="74"/>
      <c r="O252" s="74"/>
      <c r="P252" s="3"/>
      <c r="Q252" s="73"/>
    </row>
    <row r="253" spans="1:17" s="26" customFormat="1" ht="15">
      <c r="A253" s="19" t="s">
        <v>1230</v>
      </c>
      <c r="B253" s="29" t="s">
        <v>1231</v>
      </c>
      <c r="C253" s="29" t="s">
        <v>1232</v>
      </c>
      <c r="D253" s="19" t="s">
        <v>1452</v>
      </c>
      <c r="E253" s="22">
        <v>1995</v>
      </c>
      <c r="F253" s="22">
        <v>9</v>
      </c>
      <c r="G253" s="22">
        <v>10</v>
      </c>
      <c r="H253" s="27" t="s">
        <v>1363</v>
      </c>
      <c r="I253" s="47" t="s">
        <v>1453</v>
      </c>
      <c r="J253" s="51">
        <v>26.5</v>
      </c>
      <c r="K253" s="51">
        <v>3.8</v>
      </c>
      <c r="L253" s="51">
        <f t="shared" ref="L253:L258" si="25">ROUND((N253/J253)*100,1)</f>
        <v>91.7</v>
      </c>
      <c r="M253" s="51" t="s">
        <v>986</v>
      </c>
      <c r="N253" s="51">
        <f>J253-2.2</f>
        <v>24.3</v>
      </c>
      <c r="O253" s="52" t="s">
        <v>986</v>
      </c>
      <c r="P253" s="30" t="s">
        <v>1454</v>
      </c>
      <c r="Q253" s="140"/>
    </row>
    <row r="254" spans="1:17" s="26" customFormat="1" ht="15">
      <c r="A254" s="19"/>
      <c r="B254" s="29"/>
      <c r="C254" s="29"/>
      <c r="D254" s="19"/>
      <c r="E254" s="22"/>
      <c r="F254" s="22"/>
      <c r="G254" s="22"/>
      <c r="H254" s="27"/>
      <c r="I254" s="48" t="s">
        <v>1238</v>
      </c>
      <c r="J254" s="53">
        <v>21.4</v>
      </c>
      <c r="K254" s="53">
        <v>3.4</v>
      </c>
      <c r="L254" s="53">
        <f t="shared" si="25"/>
        <v>42.1</v>
      </c>
      <c r="M254" s="53" t="s">
        <v>986</v>
      </c>
      <c r="N254" s="53">
        <f>J254-12.4</f>
        <v>8.9999999999999982</v>
      </c>
      <c r="O254" s="54" t="s">
        <v>986</v>
      </c>
      <c r="P254" s="30" t="s">
        <v>1454</v>
      </c>
      <c r="Q254" s="140"/>
    </row>
    <row r="255" spans="1:17" s="26" customFormat="1" ht="15">
      <c r="A255" s="19"/>
      <c r="B255" s="29"/>
      <c r="C255" s="29"/>
      <c r="D255" s="19"/>
      <c r="E255" s="22"/>
      <c r="F255" s="22"/>
      <c r="G255" s="22"/>
      <c r="H255" s="27"/>
      <c r="I255" s="48" t="s">
        <v>912</v>
      </c>
      <c r="J255" s="53">
        <v>191.3</v>
      </c>
      <c r="K255" s="53">
        <v>24.8</v>
      </c>
      <c r="L255" s="53">
        <f t="shared" si="25"/>
        <v>18.5</v>
      </c>
      <c r="M255" s="53" t="s">
        <v>986</v>
      </c>
      <c r="N255" s="53">
        <f>J255-155.9</f>
        <v>35.400000000000006</v>
      </c>
      <c r="O255" s="54" t="s">
        <v>986</v>
      </c>
      <c r="P255" s="30" t="s">
        <v>1454</v>
      </c>
      <c r="Q255" s="140"/>
    </row>
    <row r="256" spans="1:17" s="26" customFormat="1" ht="15">
      <c r="A256" s="19"/>
      <c r="B256" s="29"/>
      <c r="C256" s="29"/>
      <c r="D256" s="19"/>
      <c r="E256" s="22"/>
      <c r="F256" s="22"/>
      <c r="G256" s="22"/>
      <c r="H256" s="27"/>
      <c r="I256" s="48" t="s">
        <v>1332</v>
      </c>
      <c r="J256" s="53">
        <v>10</v>
      </c>
      <c r="K256" s="53">
        <v>2.7</v>
      </c>
      <c r="L256" s="53">
        <f t="shared" si="25"/>
        <v>89</v>
      </c>
      <c r="M256" s="53" t="s">
        <v>986</v>
      </c>
      <c r="N256" s="53">
        <f>J256-1.1</f>
        <v>8.9</v>
      </c>
      <c r="O256" s="54" t="s">
        <v>986</v>
      </c>
      <c r="P256" s="30" t="s">
        <v>1454</v>
      </c>
      <c r="Q256" s="140"/>
    </row>
    <row r="257" spans="1:17" s="26" customFormat="1" ht="15">
      <c r="A257" s="19"/>
      <c r="B257" s="29"/>
      <c r="C257" s="29"/>
      <c r="D257" s="19"/>
      <c r="E257" s="22"/>
      <c r="F257" s="22"/>
      <c r="G257" s="22"/>
      <c r="H257" s="27"/>
      <c r="I257" s="48" t="s">
        <v>1333</v>
      </c>
      <c r="J257" s="53">
        <v>1.9</v>
      </c>
      <c r="K257" s="53">
        <v>0.5</v>
      </c>
      <c r="L257" s="53">
        <f t="shared" si="25"/>
        <v>5.3</v>
      </c>
      <c r="M257" s="53" t="s">
        <v>986</v>
      </c>
      <c r="N257" s="53">
        <f>J257-1.8</f>
        <v>9.9999999999999867E-2</v>
      </c>
      <c r="O257" s="54" t="s">
        <v>986</v>
      </c>
      <c r="P257" s="30" t="s">
        <v>1454</v>
      </c>
      <c r="Q257" s="140"/>
    </row>
    <row r="258" spans="1:17" s="26" customFormat="1" ht="15">
      <c r="A258" s="19"/>
      <c r="B258" s="29"/>
      <c r="C258" s="29"/>
      <c r="D258" s="19"/>
      <c r="E258" s="22"/>
      <c r="F258" s="22"/>
      <c r="G258" s="22"/>
      <c r="H258" s="27"/>
      <c r="I258" s="48" t="s">
        <v>544</v>
      </c>
      <c r="J258" s="53">
        <v>24.1</v>
      </c>
      <c r="K258" s="53">
        <v>2.4</v>
      </c>
      <c r="L258" s="53">
        <f t="shared" si="25"/>
        <v>95.9</v>
      </c>
      <c r="M258" s="53" t="s">
        <v>986</v>
      </c>
      <c r="N258" s="53">
        <f>J258-1</f>
        <v>23.1</v>
      </c>
      <c r="O258" s="54" t="s">
        <v>986</v>
      </c>
      <c r="P258" s="30" t="s">
        <v>1454</v>
      </c>
      <c r="Q258" s="140"/>
    </row>
    <row r="259" spans="1:17" s="26" customFormat="1" ht="15">
      <c r="A259" s="19"/>
      <c r="B259" s="29"/>
      <c r="C259" s="29"/>
      <c r="D259" s="19"/>
      <c r="E259" s="22"/>
      <c r="F259" s="22"/>
      <c r="G259" s="22"/>
      <c r="H259" s="27"/>
      <c r="I259" s="48" t="s">
        <v>1335</v>
      </c>
      <c r="J259" s="53">
        <v>0.3</v>
      </c>
      <c r="K259" s="53">
        <v>0.1</v>
      </c>
      <c r="L259" s="53" t="s">
        <v>1398</v>
      </c>
      <c r="M259" s="53" t="s">
        <v>986</v>
      </c>
      <c r="N259" s="53" t="s">
        <v>986</v>
      </c>
      <c r="O259" s="54" t="s">
        <v>986</v>
      </c>
      <c r="P259" s="30" t="s">
        <v>1454</v>
      </c>
      <c r="Q259" s="140"/>
    </row>
    <row r="260" spans="1:17" s="26" customFormat="1" ht="15">
      <c r="A260" s="19"/>
      <c r="B260" s="29"/>
      <c r="C260" s="29"/>
      <c r="D260" s="19"/>
      <c r="E260" s="22"/>
      <c r="F260" s="22"/>
      <c r="G260" s="22"/>
      <c r="H260" s="27"/>
      <c r="I260" s="48" t="s">
        <v>1336</v>
      </c>
      <c r="J260" s="53">
        <v>8.6</v>
      </c>
      <c r="K260" s="53">
        <v>2.6</v>
      </c>
      <c r="L260" s="53">
        <f>ROUND((N260/J260)*100,1)</f>
        <v>17.399999999999999</v>
      </c>
      <c r="M260" s="53" t="s">
        <v>986</v>
      </c>
      <c r="N260" s="53">
        <f>J260-7.1</f>
        <v>1.5</v>
      </c>
      <c r="O260" s="54" t="s">
        <v>986</v>
      </c>
      <c r="P260" s="30" t="s">
        <v>1454</v>
      </c>
      <c r="Q260" s="140"/>
    </row>
    <row r="261" spans="1:17" s="26" customFormat="1" ht="15">
      <c r="A261" s="19"/>
      <c r="B261" s="29"/>
      <c r="C261" s="29"/>
      <c r="D261" s="19"/>
      <c r="E261" s="22"/>
      <c r="F261" s="22"/>
      <c r="G261" s="22"/>
      <c r="H261" s="27"/>
      <c r="I261" s="48" t="s">
        <v>1239</v>
      </c>
      <c r="J261" s="53">
        <v>12.7</v>
      </c>
      <c r="K261" s="53">
        <v>3.4</v>
      </c>
      <c r="L261" s="53">
        <f>ROUND((N261/J261)*100,1)</f>
        <v>84.3</v>
      </c>
      <c r="M261" s="53" t="s">
        <v>986</v>
      </c>
      <c r="N261" s="53">
        <f>J261-2</f>
        <v>10.7</v>
      </c>
      <c r="O261" s="54" t="s">
        <v>986</v>
      </c>
      <c r="P261" s="30" t="s">
        <v>1454</v>
      </c>
      <c r="Q261" s="140"/>
    </row>
    <row r="262" spans="1:17" s="26" customFormat="1" ht="15">
      <c r="A262" s="19"/>
      <c r="B262" s="29"/>
      <c r="C262" s="29"/>
      <c r="D262" s="19"/>
      <c r="E262" s="22"/>
      <c r="F262" s="22"/>
      <c r="G262" s="22"/>
      <c r="H262" s="27"/>
      <c r="I262" s="48" t="s">
        <v>1330</v>
      </c>
      <c r="J262" s="53">
        <v>9.6999999999999993</v>
      </c>
      <c r="K262" s="53">
        <v>4.9000000000000004</v>
      </c>
      <c r="L262" s="53">
        <f>ROUND((N262/J262)*100,1)</f>
        <v>99</v>
      </c>
      <c r="M262" s="53" t="s">
        <v>986</v>
      </c>
      <c r="N262" s="53">
        <f>J262-0.1</f>
        <v>9.6</v>
      </c>
      <c r="O262" s="54" t="s">
        <v>986</v>
      </c>
      <c r="P262" s="30" t="s">
        <v>1454</v>
      </c>
      <c r="Q262" s="140"/>
    </row>
    <row r="263" spans="1:17" s="26" customFormat="1" ht="16" thickBot="1">
      <c r="A263" s="19"/>
      <c r="B263" s="29"/>
      <c r="C263" s="29"/>
      <c r="D263" s="19"/>
      <c r="E263" s="22"/>
      <c r="F263" s="22"/>
      <c r="G263" s="22"/>
      <c r="H263" s="27"/>
      <c r="I263" s="49" t="s">
        <v>485</v>
      </c>
      <c r="J263" s="55">
        <v>306.5</v>
      </c>
      <c r="K263" s="55">
        <v>48.6</v>
      </c>
      <c r="L263" s="55">
        <f>ROUND((N263/J263)*100,1)</f>
        <v>35.9</v>
      </c>
      <c r="M263" s="55" t="s">
        <v>986</v>
      </c>
      <c r="N263" s="55">
        <f>J263-196.6</f>
        <v>109.9</v>
      </c>
      <c r="O263" s="56" t="s">
        <v>986</v>
      </c>
      <c r="P263" s="30" t="s">
        <v>1454</v>
      </c>
      <c r="Q263" s="140"/>
    </row>
    <row r="264" spans="1:17" s="1" customFormat="1">
      <c r="A264" s="3"/>
      <c r="B264" s="5"/>
      <c r="C264" s="5"/>
      <c r="D264" s="3"/>
      <c r="E264" s="74"/>
      <c r="F264" s="74"/>
      <c r="G264" s="74"/>
      <c r="H264" s="3"/>
      <c r="I264" s="3"/>
      <c r="J264" s="74"/>
      <c r="K264" s="74"/>
      <c r="L264" s="74"/>
      <c r="M264" s="74"/>
      <c r="N264" s="74"/>
      <c r="O264" s="74"/>
      <c r="P264" s="3"/>
      <c r="Q264" s="3"/>
    </row>
    <row r="265" spans="1:17" s="1" customFormat="1">
      <c r="A265" s="293"/>
      <c r="B265" s="297"/>
      <c r="C265" s="297"/>
      <c r="D265" s="293"/>
      <c r="E265" s="292"/>
      <c r="F265" s="292"/>
      <c r="G265" s="292"/>
      <c r="H265" s="293"/>
      <c r="I265" s="293"/>
      <c r="J265" s="292"/>
      <c r="K265" s="292"/>
      <c r="L265" s="292"/>
      <c r="M265" s="292"/>
      <c r="N265" s="292"/>
      <c r="O265" s="292"/>
      <c r="P265" s="293"/>
      <c r="Q265" s="3"/>
    </row>
    <row r="266" spans="1:17" s="1" customFormat="1" ht="14" thickBot="1">
      <c r="A266" s="3"/>
      <c r="B266" s="5"/>
      <c r="C266" s="5"/>
      <c r="D266" s="3"/>
      <c r="E266" s="74"/>
      <c r="F266" s="74"/>
      <c r="G266" s="74"/>
      <c r="H266" s="3"/>
      <c r="I266" s="3"/>
      <c r="J266" s="74"/>
      <c r="K266" s="74"/>
      <c r="L266" s="74"/>
      <c r="M266" s="74"/>
      <c r="N266" s="74"/>
      <c r="O266" s="74"/>
      <c r="P266" s="3"/>
      <c r="Q266" s="3"/>
    </row>
    <row r="267" spans="1:17" ht="15">
      <c r="A267" s="19" t="s">
        <v>1236</v>
      </c>
      <c r="B267" s="29" t="s">
        <v>1237</v>
      </c>
      <c r="C267" s="29" t="s">
        <v>1156</v>
      </c>
      <c r="D267" s="19" t="s">
        <v>1540</v>
      </c>
      <c r="E267" s="22" t="s">
        <v>1046</v>
      </c>
      <c r="F267" s="22" t="s">
        <v>1046</v>
      </c>
      <c r="G267" s="22" t="s">
        <v>1046</v>
      </c>
      <c r="H267" s="27" t="s">
        <v>1363</v>
      </c>
      <c r="I267" s="47" t="s">
        <v>912</v>
      </c>
      <c r="J267" s="51">
        <v>137.80000000000001</v>
      </c>
      <c r="K267" s="51" t="s">
        <v>1046</v>
      </c>
      <c r="L267" s="51">
        <v>58.3</v>
      </c>
      <c r="M267" s="51" t="s">
        <v>1046</v>
      </c>
      <c r="N267" s="51">
        <f t="shared" ref="N267:N278" si="26">ROUND(J267*(L267/100),1)</f>
        <v>80.3</v>
      </c>
      <c r="O267" s="52" t="s">
        <v>1046</v>
      </c>
      <c r="P267" s="30" t="s">
        <v>96</v>
      </c>
      <c r="Q267" s="50"/>
    </row>
    <row r="268" spans="1:17" ht="15">
      <c r="A268" s="19"/>
      <c r="B268" s="29"/>
      <c r="C268" s="29"/>
      <c r="D268" s="19"/>
      <c r="E268" s="22"/>
      <c r="F268" s="22"/>
      <c r="G268" s="22"/>
      <c r="H268" s="27"/>
      <c r="I268" s="48" t="s">
        <v>1238</v>
      </c>
      <c r="J268" s="53">
        <v>22.8</v>
      </c>
      <c r="K268" s="53" t="s">
        <v>986</v>
      </c>
      <c r="L268" s="53">
        <v>96.6</v>
      </c>
      <c r="M268" s="53" t="s">
        <v>986</v>
      </c>
      <c r="N268" s="53">
        <f t="shared" si="26"/>
        <v>22</v>
      </c>
      <c r="O268" s="54" t="s">
        <v>986</v>
      </c>
      <c r="P268" s="30" t="s">
        <v>96</v>
      </c>
      <c r="Q268" s="50"/>
    </row>
    <row r="269" spans="1:17" ht="15">
      <c r="A269" s="19"/>
      <c r="B269" s="29"/>
      <c r="C269" s="29"/>
      <c r="D269" s="19"/>
      <c r="E269" s="22"/>
      <c r="F269" s="22"/>
      <c r="G269" s="22"/>
      <c r="H269" s="27"/>
      <c r="I269" s="48" t="s">
        <v>1533</v>
      </c>
      <c r="J269" s="53">
        <v>21.3</v>
      </c>
      <c r="K269" s="53" t="s">
        <v>986</v>
      </c>
      <c r="L269" s="53">
        <v>97.9</v>
      </c>
      <c r="M269" s="53" t="s">
        <v>986</v>
      </c>
      <c r="N269" s="53">
        <f t="shared" si="26"/>
        <v>20.9</v>
      </c>
      <c r="O269" s="54" t="s">
        <v>986</v>
      </c>
      <c r="P269" s="30" t="s">
        <v>96</v>
      </c>
      <c r="Q269" s="50"/>
    </row>
    <row r="270" spans="1:17" ht="15">
      <c r="A270" s="19"/>
      <c r="B270" s="29"/>
      <c r="C270" s="29"/>
      <c r="D270" s="19"/>
      <c r="E270" s="22"/>
      <c r="F270" s="22"/>
      <c r="G270" s="22"/>
      <c r="H270" s="27"/>
      <c r="I270" s="48" t="s">
        <v>1440</v>
      </c>
      <c r="J270" s="53">
        <v>0.2</v>
      </c>
      <c r="K270" s="53" t="s">
        <v>986</v>
      </c>
      <c r="L270" s="53">
        <v>100</v>
      </c>
      <c r="M270" s="53" t="s">
        <v>986</v>
      </c>
      <c r="N270" s="53">
        <f t="shared" si="26"/>
        <v>0.2</v>
      </c>
      <c r="O270" s="54" t="s">
        <v>986</v>
      </c>
      <c r="P270" s="30" t="s">
        <v>96</v>
      </c>
      <c r="Q270" s="50"/>
    </row>
    <row r="271" spans="1:17" ht="15">
      <c r="A271" s="19"/>
      <c r="B271" s="29"/>
      <c r="C271" s="29"/>
      <c r="D271" s="19"/>
      <c r="E271" s="22"/>
      <c r="F271" s="22"/>
      <c r="G271" s="22"/>
      <c r="H271" s="27"/>
      <c r="I271" s="48" t="s">
        <v>1333</v>
      </c>
      <c r="J271" s="53">
        <v>3.3</v>
      </c>
      <c r="K271" s="53" t="s">
        <v>986</v>
      </c>
      <c r="L271" s="53">
        <v>99.7</v>
      </c>
      <c r="M271" s="53" t="s">
        <v>986</v>
      </c>
      <c r="N271" s="53">
        <f t="shared" si="26"/>
        <v>3.3</v>
      </c>
      <c r="O271" s="54" t="s">
        <v>986</v>
      </c>
      <c r="P271" s="30" t="s">
        <v>96</v>
      </c>
      <c r="Q271" s="50"/>
    </row>
    <row r="272" spans="1:17" ht="15">
      <c r="A272" s="19"/>
      <c r="B272" s="29"/>
      <c r="C272" s="29"/>
      <c r="D272" s="19"/>
      <c r="E272" s="22"/>
      <c r="F272" s="22"/>
      <c r="G272" s="22"/>
      <c r="H272" s="27"/>
      <c r="I272" s="48" t="s">
        <v>1332</v>
      </c>
      <c r="J272" s="53">
        <v>28.7</v>
      </c>
      <c r="K272" s="53" t="s">
        <v>986</v>
      </c>
      <c r="L272" s="53">
        <v>97.4</v>
      </c>
      <c r="M272" s="53" t="s">
        <v>986</v>
      </c>
      <c r="N272" s="53">
        <f t="shared" si="26"/>
        <v>28</v>
      </c>
      <c r="O272" s="54" t="s">
        <v>986</v>
      </c>
      <c r="P272" s="30" t="s">
        <v>96</v>
      </c>
      <c r="Q272" s="50"/>
    </row>
    <row r="273" spans="1:17" ht="15">
      <c r="A273" s="19"/>
      <c r="B273" s="29"/>
      <c r="C273" s="29"/>
      <c r="D273" s="19"/>
      <c r="E273" s="22"/>
      <c r="F273" s="22"/>
      <c r="G273" s="22"/>
      <c r="H273" s="27"/>
      <c r="I273" s="48" t="s">
        <v>1159</v>
      </c>
      <c r="J273" s="53">
        <v>32.299999999999997</v>
      </c>
      <c r="K273" s="53" t="s">
        <v>986</v>
      </c>
      <c r="L273" s="53">
        <v>99.6</v>
      </c>
      <c r="M273" s="53" t="s">
        <v>986</v>
      </c>
      <c r="N273" s="53">
        <f t="shared" si="26"/>
        <v>32.200000000000003</v>
      </c>
      <c r="O273" s="54" t="s">
        <v>986</v>
      </c>
      <c r="P273" s="30" t="s">
        <v>96</v>
      </c>
      <c r="Q273" s="50"/>
    </row>
    <row r="274" spans="1:17" ht="15">
      <c r="A274" s="19"/>
      <c r="B274" s="29"/>
      <c r="C274" s="29"/>
      <c r="D274" s="19"/>
      <c r="E274" s="22"/>
      <c r="F274" s="22"/>
      <c r="G274" s="22"/>
      <c r="H274" s="27"/>
      <c r="I274" s="48" t="s">
        <v>1246</v>
      </c>
      <c r="J274" s="53">
        <v>2.4</v>
      </c>
      <c r="K274" s="53" t="s">
        <v>986</v>
      </c>
      <c r="L274" s="53">
        <v>99.7</v>
      </c>
      <c r="M274" s="53" t="s">
        <v>986</v>
      </c>
      <c r="N274" s="53">
        <f t="shared" si="26"/>
        <v>2.4</v>
      </c>
      <c r="O274" s="54" t="s">
        <v>986</v>
      </c>
      <c r="P274" s="30" t="s">
        <v>96</v>
      </c>
      <c r="Q274" s="50"/>
    </row>
    <row r="275" spans="1:17" ht="15">
      <c r="A275" s="19"/>
      <c r="B275" s="29"/>
      <c r="C275" s="29"/>
      <c r="D275" s="19"/>
      <c r="E275" s="22"/>
      <c r="F275" s="22"/>
      <c r="G275" s="22"/>
      <c r="H275" s="27"/>
      <c r="I275" s="48" t="s">
        <v>1419</v>
      </c>
      <c r="J275" s="53">
        <v>8.1999999999999993</v>
      </c>
      <c r="K275" s="53" t="s">
        <v>986</v>
      </c>
      <c r="L275" s="53">
        <v>96.4</v>
      </c>
      <c r="M275" s="53" t="s">
        <v>986</v>
      </c>
      <c r="N275" s="53">
        <f t="shared" si="26"/>
        <v>7.9</v>
      </c>
      <c r="O275" s="54" t="s">
        <v>986</v>
      </c>
      <c r="P275" s="30" t="s">
        <v>96</v>
      </c>
      <c r="Q275" s="50"/>
    </row>
    <row r="276" spans="1:17" ht="15">
      <c r="A276" s="19"/>
      <c r="B276" s="29"/>
      <c r="C276" s="29"/>
      <c r="D276" s="19"/>
      <c r="E276" s="22"/>
      <c r="F276" s="22"/>
      <c r="G276" s="22"/>
      <c r="H276" s="27"/>
      <c r="I276" s="48" t="s">
        <v>1420</v>
      </c>
      <c r="J276" s="53">
        <v>5.6</v>
      </c>
      <c r="K276" s="53" t="s">
        <v>986</v>
      </c>
      <c r="L276" s="53">
        <v>97.9</v>
      </c>
      <c r="M276" s="53" t="s">
        <v>986</v>
      </c>
      <c r="N276" s="53">
        <f t="shared" si="26"/>
        <v>5.5</v>
      </c>
      <c r="O276" s="54" t="s">
        <v>986</v>
      </c>
      <c r="P276" s="30" t="s">
        <v>96</v>
      </c>
      <c r="Q276" s="50"/>
    </row>
    <row r="277" spans="1:17" ht="15">
      <c r="A277" s="19"/>
      <c r="B277" s="29"/>
      <c r="C277" s="29"/>
      <c r="D277" s="19"/>
      <c r="E277" s="22"/>
      <c r="F277" s="22"/>
      <c r="G277" s="22"/>
      <c r="H277" s="27"/>
      <c r="I277" s="48" t="s">
        <v>1421</v>
      </c>
      <c r="J277" s="53">
        <v>0.01</v>
      </c>
      <c r="K277" s="53" t="s">
        <v>986</v>
      </c>
      <c r="L277" s="53">
        <v>99.7</v>
      </c>
      <c r="M277" s="53" t="s">
        <v>986</v>
      </c>
      <c r="N277" s="53">
        <f t="shared" si="26"/>
        <v>0</v>
      </c>
      <c r="O277" s="54" t="s">
        <v>986</v>
      </c>
      <c r="P277" s="30" t="s">
        <v>96</v>
      </c>
      <c r="Q277" s="50"/>
    </row>
    <row r="278" spans="1:17" ht="16" thickBot="1">
      <c r="A278" s="19"/>
      <c r="B278" s="29"/>
      <c r="C278" s="29"/>
      <c r="D278" s="19"/>
      <c r="E278" s="22"/>
      <c r="F278" s="22"/>
      <c r="G278" s="22"/>
      <c r="H278" s="27"/>
      <c r="I278" s="49" t="s">
        <v>485</v>
      </c>
      <c r="J278" s="55">
        <v>262.5</v>
      </c>
      <c r="K278" s="55" t="s">
        <v>1046</v>
      </c>
      <c r="L278" s="55">
        <v>42</v>
      </c>
      <c r="M278" s="55" t="s">
        <v>1046</v>
      </c>
      <c r="N278" s="55">
        <f t="shared" si="26"/>
        <v>110.3</v>
      </c>
      <c r="O278" s="56" t="s">
        <v>1046</v>
      </c>
      <c r="P278" s="30" t="s">
        <v>96</v>
      </c>
      <c r="Q278" s="50"/>
    </row>
    <row r="279" spans="1:17" s="58" customFormat="1">
      <c r="A279" s="3"/>
      <c r="B279" s="5"/>
      <c r="C279" s="5"/>
      <c r="D279" s="3"/>
      <c r="E279" s="74"/>
      <c r="F279" s="74"/>
      <c r="G279" s="74"/>
      <c r="H279" s="3"/>
      <c r="I279" s="3"/>
      <c r="J279" s="74"/>
      <c r="K279" s="74"/>
      <c r="L279" s="74"/>
      <c r="M279" s="74"/>
      <c r="N279" s="74"/>
      <c r="O279" s="74"/>
      <c r="P279" s="3"/>
      <c r="Q279" s="73"/>
    </row>
    <row r="280" spans="1:17" s="58" customFormat="1">
      <c r="A280" s="293"/>
      <c r="B280" s="297"/>
      <c r="C280" s="297"/>
      <c r="D280" s="293"/>
      <c r="E280" s="292"/>
      <c r="F280" s="292"/>
      <c r="G280" s="292"/>
      <c r="H280" s="293"/>
      <c r="I280" s="293"/>
      <c r="J280" s="292"/>
      <c r="K280" s="292"/>
      <c r="L280" s="292"/>
      <c r="M280" s="292"/>
      <c r="N280" s="292"/>
      <c r="O280" s="292"/>
      <c r="P280" s="293"/>
      <c r="Q280" s="73"/>
    </row>
    <row r="281" spans="1:17" s="58" customFormat="1" ht="14" thickBot="1">
      <c r="A281" s="3"/>
      <c r="B281" s="5"/>
      <c r="C281" s="5"/>
      <c r="D281" s="3"/>
      <c r="E281" s="74"/>
      <c r="F281" s="74"/>
      <c r="G281" s="74"/>
      <c r="H281" s="3"/>
      <c r="I281" s="3"/>
      <c r="J281" s="74"/>
      <c r="K281" s="74"/>
      <c r="L281" s="74"/>
      <c r="M281" s="74"/>
      <c r="N281" s="74"/>
      <c r="O281" s="74"/>
      <c r="P281" s="3"/>
      <c r="Q281" s="73"/>
    </row>
    <row r="282" spans="1:17" s="26" customFormat="1" ht="15">
      <c r="A282" s="19" t="s">
        <v>1604</v>
      </c>
      <c r="B282" s="29" t="s">
        <v>601</v>
      </c>
      <c r="C282" s="29" t="s">
        <v>1700</v>
      </c>
      <c r="D282" s="19" t="s">
        <v>1701</v>
      </c>
      <c r="E282" s="22">
        <v>1994</v>
      </c>
      <c r="F282" s="22">
        <v>10</v>
      </c>
      <c r="G282" s="22">
        <v>14</v>
      </c>
      <c r="H282" s="27" t="s">
        <v>1363</v>
      </c>
      <c r="I282" s="47" t="s">
        <v>1702</v>
      </c>
      <c r="J282" s="51">
        <v>7.8</v>
      </c>
      <c r="K282" s="51" t="s">
        <v>986</v>
      </c>
      <c r="L282" s="51">
        <v>61</v>
      </c>
      <c r="M282" s="51" t="s">
        <v>986</v>
      </c>
      <c r="N282" s="51">
        <f t="shared" ref="N282:N299" si="27">ROUND(J282*(L282/100),1)</f>
        <v>4.8</v>
      </c>
      <c r="O282" s="52" t="s">
        <v>986</v>
      </c>
      <c r="P282" s="30" t="s">
        <v>1703</v>
      </c>
      <c r="Q282" s="140"/>
    </row>
    <row r="283" spans="1:17" s="26" customFormat="1" ht="15">
      <c r="A283" s="19"/>
      <c r="B283" s="29"/>
      <c r="C283" s="29"/>
      <c r="D283" s="19"/>
      <c r="E283" s="22"/>
      <c r="F283" s="22"/>
      <c r="G283" s="22"/>
      <c r="H283" s="27"/>
      <c r="I283" s="48" t="s">
        <v>1215</v>
      </c>
      <c r="J283" s="53">
        <v>0.3</v>
      </c>
      <c r="K283" s="53" t="s">
        <v>986</v>
      </c>
      <c r="L283" s="53">
        <v>83.4</v>
      </c>
      <c r="M283" s="53" t="s">
        <v>986</v>
      </c>
      <c r="N283" s="53">
        <f t="shared" si="27"/>
        <v>0.3</v>
      </c>
      <c r="O283" s="54" t="s">
        <v>986</v>
      </c>
      <c r="P283" s="30" t="s">
        <v>1703</v>
      </c>
      <c r="Q283" s="140"/>
    </row>
    <row r="284" spans="1:17" s="26" customFormat="1" ht="15">
      <c r="A284" s="19"/>
      <c r="B284" s="29"/>
      <c r="C284" s="29"/>
      <c r="D284" s="19"/>
      <c r="E284" s="22"/>
      <c r="F284" s="22"/>
      <c r="G284" s="22"/>
      <c r="H284" s="27"/>
      <c r="I284" s="48" t="s">
        <v>1605</v>
      </c>
      <c r="J284" s="53">
        <v>2.4</v>
      </c>
      <c r="K284" s="53" t="s">
        <v>986</v>
      </c>
      <c r="L284" s="53">
        <v>61</v>
      </c>
      <c r="M284" s="53" t="s">
        <v>986</v>
      </c>
      <c r="N284" s="53">
        <f t="shared" si="27"/>
        <v>1.5</v>
      </c>
      <c r="O284" s="54" t="s">
        <v>986</v>
      </c>
      <c r="P284" s="30" t="s">
        <v>1703</v>
      </c>
      <c r="Q284" s="140"/>
    </row>
    <row r="285" spans="1:17" s="26" customFormat="1" ht="15">
      <c r="A285" s="19"/>
      <c r="B285" s="29"/>
      <c r="C285" s="29"/>
      <c r="D285" s="19"/>
      <c r="E285" s="22"/>
      <c r="F285" s="22"/>
      <c r="G285" s="22"/>
      <c r="H285" s="27"/>
      <c r="I285" s="48" t="s">
        <v>1318</v>
      </c>
      <c r="J285" s="53">
        <v>0.03</v>
      </c>
      <c r="K285" s="53" t="s">
        <v>986</v>
      </c>
      <c r="L285" s="53">
        <v>61</v>
      </c>
      <c r="M285" s="53" t="s">
        <v>986</v>
      </c>
      <c r="N285" s="53">
        <f t="shared" si="27"/>
        <v>0</v>
      </c>
      <c r="O285" s="54" t="s">
        <v>986</v>
      </c>
      <c r="P285" s="30" t="s">
        <v>1703</v>
      </c>
      <c r="Q285" s="140"/>
    </row>
    <row r="286" spans="1:17" s="26" customFormat="1" ht="15">
      <c r="A286" s="19"/>
      <c r="B286" s="29"/>
      <c r="C286" s="29"/>
      <c r="D286" s="19"/>
      <c r="E286" s="22"/>
      <c r="F286" s="22"/>
      <c r="G286" s="22"/>
      <c r="H286" s="27"/>
      <c r="I286" s="48" t="s">
        <v>1433</v>
      </c>
      <c r="J286" s="53">
        <v>34.9</v>
      </c>
      <c r="K286" s="53" t="s">
        <v>986</v>
      </c>
      <c r="L286" s="53">
        <v>3.15</v>
      </c>
      <c r="M286" s="53" t="s">
        <v>986</v>
      </c>
      <c r="N286" s="53">
        <f t="shared" si="27"/>
        <v>1.1000000000000001</v>
      </c>
      <c r="O286" s="54" t="s">
        <v>986</v>
      </c>
      <c r="P286" s="30" t="s">
        <v>1703</v>
      </c>
      <c r="Q286" s="140"/>
    </row>
    <row r="287" spans="1:17" s="26" customFormat="1" ht="15">
      <c r="A287" s="19"/>
      <c r="B287" s="29"/>
      <c r="C287" s="29"/>
      <c r="D287" s="19"/>
      <c r="E287" s="22"/>
      <c r="F287" s="22"/>
      <c r="G287" s="22"/>
      <c r="H287" s="27"/>
      <c r="I287" s="48" t="s">
        <v>1147</v>
      </c>
      <c r="J287" s="53">
        <v>3.9</v>
      </c>
      <c r="K287" s="53" t="s">
        <v>986</v>
      </c>
      <c r="L287" s="53">
        <v>83.4</v>
      </c>
      <c r="M287" s="53" t="s">
        <v>986</v>
      </c>
      <c r="N287" s="53">
        <f t="shared" si="27"/>
        <v>3.3</v>
      </c>
      <c r="O287" s="54" t="s">
        <v>986</v>
      </c>
      <c r="P287" s="30" t="s">
        <v>1703</v>
      </c>
      <c r="Q287" s="140"/>
    </row>
    <row r="288" spans="1:17" s="26" customFormat="1" ht="15">
      <c r="A288" s="19"/>
      <c r="B288" s="29"/>
      <c r="C288" s="29"/>
      <c r="D288" s="19"/>
      <c r="E288" s="22"/>
      <c r="F288" s="22"/>
      <c r="G288" s="22"/>
      <c r="H288" s="27"/>
      <c r="I288" s="48" t="s">
        <v>1447</v>
      </c>
      <c r="J288" s="53">
        <v>5.5</v>
      </c>
      <c r="K288" s="53" t="s">
        <v>986</v>
      </c>
      <c r="L288" s="53">
        <v>61</v>
      </c>
      <c r="M288" s="53" t="s">
        <v>986</v>
      </c>
      <c r="N288" s="53">
        <f t="shared" si="27"/>
        <v>3.4</v>
      </c>
      <c r="O288" s="54" t="s">
        <v>986</v>
      </c>
      <c r="P288" s="30" t="s">
        <v>1703</v>
      </c>
      <c r="Q288" s="140"/>
    </row>
    <row r="289" spans="1:17" s="26" customFormat="1" ht="15">
      <c r="A289" s="19"/>
      <c r="B289" s="29"/>
      <c r="C289" s="29"/>
      <c r="D289" s="19"/>
      <c r="E289" s="22"/>
      <c r="F289" s="22"/>
      <c r="G289" s="22"/>
      <c r="H289" s="27"/>
      <c r="I289" s="48" t="s">
        <v>1448</v>
      </c>
      <c r="J289" s="53">
        <v>9.3000000000000007</v>
      </c>
      <c r="K289" s="53" t="s">
        <v>986</v>
      </c>
      <c r="L289" s="53">
        <v>3.15</v>
      </c>
      <c r="M289" s="53" t="s">
        <v>986</v>
      </c>
      <c r="N289" s="53">
        <f t="shared" si="27"/>
        <v>0.3</v>
      </c>
      <c r="O289" s="54" t="s">
        <v>986</v>
      </c>
      <c r="P289" s="30" t="s">
        <v>1703</v>
      </c>
      <c r="Q289" s="140"/>
    </row>
    <row r="290" spans="1:17" s="26" customFormat="1" ht="15">
      <c r="A290" s="19"/>
      <c r="B290" s="29"/>
      <c r="C290" s="29"/>
      <c r="D290" s="19"/>
      <c r="E290" s="22"/>
      <c r="F290" s="22"/>
      <c r="G290" s="22"/>
      <c r="H290" s="27"/>
      <c r="I290" s="48" t="s">
        <v>1449</v>
      </c>
      <c r="J290" s="53">
        <v>5</v>
      </c>
      <c r="K290" s="53" t="s">
        <v>986</v>
      </c>
      <c r="L290" s="53">
        <v>3.15</v>
      </c>
      <c r="M290" s="53" t="s">
        <v>986</v>
      </c>
      <c r="N290" s="53">
        <f t="shared" si="27"/>
        <v>0.2</v>
      </c>
      <c r="O290" s="54" t="s">
        <v>986</v>
      </c>
      <c r="P290" s="30" t="s">
        <v>1703</v>
      </c>
      <c r="Q290" s="140"/>
    </row>
    <row r="291" spans="1:17" s="26" customFormat="1" ht="15">
      <c r="A291" s="19"/>
      <c r="B291" s="29"/>
      <c r="C291" s="29"/>
      <c r="D291" s="19"/>
      <c r="E291" s="22"/>
      <c r="F291" s="22"/>
      <c r="G291" s="22"/>
      <c r="H291" s="27"/>
      <c r="I291" s="48" t="s">
        <v>1450</v>
      </c>
      <c r="J291" s="53">
        <v>60.4</v>
      </c>
      <c r="K291" s="53" t="s">
        <v>986</v>
      </c>
      <c r="L291" s="53">
        <v>1.1499999999999999</v>
      </c>
      <c r="M291" s="53" t="s">
        <v>986</v>
      </c>
      <c r="N291" s="53">
        <f t="shared" si="27"/>
        <v>0.7</v>
      </c>
      <c r="O291" s="54" t="s">
        <v>986</v>
      </c>
      <c r="P291" s="30" t="s">
        <v>1703</v>
      </c>
      <c r="Q291" s="140"/>
    </row>
    <row r="292" spans="1:17" s="26" customFormat="1" ht="15">
      <c r="A292" s="19"/>
      <c r="B292" s="29"/>
      <c r="C292" s="29"/>
      <c r="D292" s="19"/>
      <c r="E292" s="22"/>
      <c r="F292" s="22"/>
      <c r="G292" s="22"/>
      <c r="H292" s="27"/>
      <c r="I292" s="48" t="s">
        <v>1451</v>
      </c>
      <c r="J292" s="53">
        <v>3.6</v>
      </c>
      <c r="K292" s="53" t="s">
        <v>986</v>
      </c>
      <c r="L292" s="53">
        <v>83.4</v>
      </c>
      <c r="M292" s="53" t="s">
        <v>986</v>
      </c>
      <c r="N292" s="53">
        <f t="shared" si="27"/>
        <v>3</v>
      </c>
      <c r="O292" s="54" t="s">
        <v>986</v>
      </c>
      <c r="P292" s="30" t="s">
        <v>1703</v>
      </c>
      <c r="Q292" s="140"/>
    </row>
    <row r="293" spans="1:17" s="26" customFormat="1" ht="15">
      <c r="A293" s="19"/>
      <c r="B293" s="29"/>
      <c r="C293" s="29"/>
      <c r="D293" s="19"/>
      <c r="E293" s="22"/>
      <c r="F293" s="22"/>
      <c r="G293" s="22"/>
      <c r="H293" s="27"/>
      <c r="I293" s="48" t="s">
        <v>1532</v>
      </c>
      <c r="J293" s="53">
        <v>16.7</v>
      </c>
      <c r="K293" s="53" t="s">
        <v>986</v>
      </c>
      <c r="L293" s="53">
        <v>61</v>
      </c>
      <c r="M293" s="53" t="s">
        <v>986</v>
      </c>
      <c r="N293" s="53">
        <f t="shared" si="27"/>
        <v>10.199999999999999</v>
      </c>
      <c r="O293" s="54" t="s">
        <v>986</v>
      </c>
      <c r="P293" s="30" t="s">
        <v>1703</v>
      </c>
      <c r="Q293" s="140"/>
    </row>
    <row r="294" spans="1:17" s="26" customFormat="1" ht="15">
      <c r="A294" s="19"/>
      <c r="B294" s="29"/>
      <c r="C294" s="29"/>
      <c r="D294" s="19"/>
      <c r="E294" s="22"/>
      <c r="F294" s="22"/>
      <c r="G294" s="22"/>
      <c r="H294" s="27"/>
      <c r="I294" s="48" t="s">
        <v>1312</v>
      </c>
      <c r="J294" s="53">
        <v>28.4</v>
      </c>
      <c r="K294" s="53" t="s">
        <v>986</v>
      </c>
      <c r="L294" s="53">
        <v>3.15</v>
      </c>
      <c r="M294" s="53" t="s">
        <v>986</v>
      </c>
      <c r="N294" s="53">
        <f t="shared" si="27"/>
        <v>0.9</v>
      </c>
      <c r="O294" s="54" t="s">
        <v>986</v>
      </c>
      <c r="P294" s="30" t="s">
        <v>1703</v>
      </c>
      <c r="Q294" s="140"/>
    </row>
    <row r="295" spans="1:17" s="26" customFormat="1" ht="15">
      <c r="A295" s="19"/>
      <c r="B295" s="29"/>
      <c r="C295" s="29"/>
      <c r="D295" s="19"/>
      <c r="E295" s="22"/>
      <c r="F295" s="22"/>
      <c r="G295" s="22"/>
      <c r="H295" s="27"/>
      <c r="I295" s="48" t="s">
        <v>1509</v>
      </c>
      <c r="J295" s="53">
        <v>15</v>
      </c>
      <c r="K295" s="53" t="s">
        <v>986</v>
      </c>
      <c r="L295" s="53">
        <v>1.1499999999999999</v>
      </c>
      <c r="M295" s="53" t="s">
        <v>986</v>
      </c>
      <c r="N295" s="53">
        <f t="shared" si="27"/>
        <v>0.2</v>
      </c>
      <c r="O295" s="54" t="s">
        <v>986</v>
      </c>
      <c r="P295" s="30" t="s">
        <v>1703</v>
      </c>
      <c r="Q295" s="140"/>
    </row>
    <row r="296" spans="1:17" s="26" customFormat="1" ht="15">
      <c r="A296" s="19"/>
      <c r="B296" s="29"/>
      <c r="C296" s="29"/>
      <c r="D296" s="19"/>
      <c r="E296" s="22"/>
      <c r="F296" s="22"/>
      <c r="G296" s="22"/>
      <c r="H296" s="27"/>
      <c r="I296" s="48" t="s">
        <v>544</v>
      </c>
      <c r="J296" s="53">
        <v>3.3</v>
      </c>
      <c r="K296" s="53" t="s">
        <v>986</v>
      </c>
      <c r="L296" s="53">
        <v>83.4</v>
      </c>
      <c r="M296" s="53" t="s">
        <v>986</v>
      </c>
      <c r="N296" s="53">
        <f t="shared" si="27"/>
        <v>2.8</v>
      </c>
      <c r="O296" s="54" t="s">
        <v>986</v>
      </c>
      <c r="P296" s="30" t="s">
        <v>1703</v>
      </c>
      <c r="Q296" s="140"/>
    </row>
    <row r="297" spans="1:17" s="26" customFormat="1" ht="15">
      <c r="A297" s="19"/>
      <c r="B297" s="29"/>
      <c r="C297" s="29"/>
      <c r="D297" s="19"/>
      <c r="E297" s="22"/>
      <c r="F297" s="22"/>
      <c r="G297" s="22"/>
      <c r="H297" s="27"/>
      <c r="I297" s="48" t="s">
        <v>1510</v>
      </c>
      <c r="J297" s="53">
        <v>13.4</v>
      </c>
      <c r="K297" s="53" t="s">
        <v>986</v>
      </c>
      <c r="L297" s="53">
        <v>61</v>
      </c>
      <c r="M297" s="53" t="s">
        <v>986</v>
      </c>
      <c r="N297" s="53">
        <f t="shared" si="27"/>
        <v>8.1999999999999993</v>
      </c>
      <c r="O297" s="54" t="s">
        <v>986</v>
      </c>
      <c r="P297" s="30" t="s">
        <v>1703</v>
      </c>
      <c r="Q297" s="140"/>
    </row>
    <row r="298" spans="1:17" s="26" customFormat="1" ht="15">
      <c r="A298" s="19"/>
      <c r="B298" s="29"/>
      <c r="C298" s="29"/>
      <c r="D298" s="19"/>
      <c r="E298" s="22"/>
      <c r="F298" s="22"/>
      <c r="G298" s="22"/>
      <c r="H298" s="27"/>
      <c r="I298" s="48" t="s">
        <v>1211</v>
      </c>
      <c r="J298" s="53">
        <v>4.3</v>
      </c>
      <c r="K298" s="53" t="s">
        <v>986</v>
      </c>
      <c r="L298" s="53">
        <v>61</v>
      </c>
      <c r="M298" s="53" t="s">
        <v>986</v>
      </c>
      <c r="N298" s="53">
        <f t="shared" si="27"/>
        <v>2.6</v>
      </c>
      <c r="O298" s="54" t="s">
        <v>986</v>
      </c>
      <c r="P298" s="30" t="s">
        <v>1703</v>
      </c>
      <c r="Q298" s="140"/>
    </row>
    <row r="299" spans="1:17" s="26" customFormat="1" ht="16" thickBot="1">
      <c r="A299" s="19"/>
      <c r="B299" s="29"/>
      <c r="C299" s="29"/>
      <c r="D299" s="19"/>
      <c r="E299" s="22"/>
      <c r="F299" s="22"/>
      <c r="G299" s="22"/>
      <c r="H299" s="27"/>
      <c r="I299" s="49" t="s">
        <v>485</v>
      </c>
      <c r="J299" s="55">
        <v>214.2</v>
      </c>
      <c r="K299" s="55" t="s">
        <v>1046</v>
      </c>
      <c r="L299" s="55">
        <v>20.100000000000001</v>
      </c>
      <c r="M299" s="55" t="s">
        <v>1046</v>
      </c>
      <c r="N299" s="55">
        <f t="shared" si="27"/>
        <v>43.1</v>
      </c>
      <c r="O299" s="56" t="s">
        <v>1046</v>
      </c>
      <c r="P299" s="30" t="s">
        <v>1703</v>
      </c>
      <c r="Q299" s="140"/>
    </row>
    <row r="300" spans="1:17" s="1" customFormat="1">
      <c r="A300" s="3"/>
      <c r="B300" s="5"/>
      <c r="C300" s="5"/>
      <c r="D300" s="3"/>
      <c r="E300" s="74"/>
      <c r="F300" s="74"/>
      <c r="G300" s="74"/>
      <c r="H300" s="3"/>
      <c r="I300" s="3"/>
      <c r="J300" s="74"/>
      <c r="K300" s="74"/>
      <c r="L300" s="74"/>
      <c r="M300" s="74"/>
      <c r="N300" s="74"/>
      <c r="O300" s="74"/>
      <c r="P300" s="3"/>
      <c r="Q300" s="3"/>
    </row>
    <row r="301" spans="1:17" s="1" customFormat="1">
      <c r="A301" s="293"/>
      <c r="B301" s="297"/>
      <c r="C301" s="297"/>
      <c r="D301" s="293"/>
      <c r="E301" s="292"/>
      <c r="F301" s="292"/>
      <c r="G301" s="292"/>
      <c r="H301" s="293"/>
      <c r="I301" s="293"/>
      <c r="J301" s="292"/>
      <c r="K301" s="292"/>
      <c r="L301" s="292"/>
      <c r="M301" s="292"/>
      <c r="N301" s="292"/>
      <c r="O301" s="292"/>
      <c r="P301" s="293"/>
      <c r="Q301" s="3"/>
    </row>
    <row r="302" spans="1:17" s="1" customFormat="1" ht="14" thickBot="1">
      <c r="A302" s="3"/>
      <c r="B302" s="5"/>
      <c r="C302" s="5"/>
      <c r="D302" s="3"/>
      <c r="E302" s="74"/>
      <c r="F302" s="74"/>
      <c r="G302" s="74"/>
      <c r="H302" s="3"/>
      <c r="I302" s="3"/>
      <c r="J302" s="74"/>
      <c r="K302" s="74"/>
      <c r="L302" s="74"/>
      <c r="M302" s="74"/>
      <c r="N302" s="74"/>
      <c r="O302" s="74"/>
      <c r="P302" s="3"/>
      <c r="Q302" s="3"/>
    </row>
    <row r="303" spans="1:17" ht="15">
      <c r="A303" s="19" t="s">
        <v>1197</v>
      </c>
      <c r="B303" s="29" t="s">
        <v>1198</v>
      </c>
      <c r="C303" s="29" t="s">
        <v>1455</v>
      </c>
      <c r="D303" s="19" t="s">
        <v>1199</v>
      </c>
      <c r="E303" s="22">
        <v>1990</v>
      </c>
      <c r="F303" s="22">
        <v>9</v>
      </c>
      <c r="G303" s="22">
        <v>13</v>
      </c>
      <c r="H303" s="27" t="s">
        <v>1363</v>
      </c>
      <c r="I303" s="47" t="s">
        <v>544</v>
      </c>
      <c r="J303" s="51">
        <v>11</v>
      </c>
      <c r="K303" s="51">
        <v>1.7</v>
      </c>
      <c r="L303" s="51">
        <f>ROUND((N303/J303)*100,1)</f>
        <v>99.1</v>
      </c>
      <c r="M303" s="51" t="s">
        <v>986</v>
      </c>
      <c r="N303" s="51">
        <v>10.9</v>
      </c>
      <c r="O303" s="52" t="s">
        <v>986</v>
      </c>
      <c r="P303" s="30" t="s">
        <v>1498</v>
      </c>
      <c r="Q303" s="50"/>
    </row>
    <row r="304" spans="1:17" ht="15">
      <c r="A304" s="19"/>
      <c r="B304" s="29"/>
      <c r="C304" s="29"/>
      <c r="D304" s="19"/>
      <c r="E304" s="22"/>
      <c r="F304" s="22"/>
      <c r="G304" s="22"/>
      <c r="H304" s="27"/>
      <c r="I304" s="48" t="s">
        <v>1495</v>
      </c>
      <c r="J304" s="53" t="s">
        <v>986</v>
      </c>
      <c r="K304" s="53" t="s">
        <v>986</v>
      </c>
      <c r="L304" s="53" t="s">
        <v>1719</v>
      </c>
      <c r="M304" s="53" t="s">
        <v>986</v>
      </c>
      <c r="N304" s="53" t="s">
        <v>986</v>
      </c>
      <c r="O304" s="54" t="s">
        <v>986</v>
      </c>
      <c r="P304" s="30" t="s">
        <v>1498</v>
      </c>
      <c r="Q304" s="50"/>
    </row>
    <row r="305" spans="1:17" ht="15">
      <c r="A305" s="19"/>
      <c r="B305" s="29"/>
      <c r="C305" s="29"/>
      <c r="D305" s="19"/>
      <c r="E305" s="22"/>
      <c r="F305" s="22"/>
      <c r="G305" s="22"/>
      <c r="H305" s="27"/>
      <c r="I305" s="48" t="s">
        <v>1261</v>
      </c>
      <c r="J305" s="53">
        <v>0.2</v>
      </c>
      <c r="K305" s="53">
        <v>0.1</v>
      </c>
      <c r="L305" s="53">
        <f>ROUND((N305/J305)*100,1)</f>
        <v>100</v>
      </c>
      <c r="M305" s="53" t="s">
        <v>986</v>
      </c>
      <c r="N305" s="53">
        <v>0.2</v>
      </c>
      <c r="O305" s="54" t="s">
        <v>986</v>
      </c>
      <c r="P305" s="30" t="s">
        <v>1498</v>
      </c>
      <c r="Q305" s="50"/>
    </row>
    <row r="306" spans="1:17" ht="15">
      <c r="A306" s="19"/>
      <c r="B306" s="29"/>
      <c r="C306" s="29"/>
      <c r="D306" s="19"/>
      <c r="E306" s="22"/>
      <c r="F306" s="22"/>
      <c r="G306" s="22"/>
      <c r="H306" s="27"/>
      <c r="I306" s="48" t="s">
        <v>1499</v>
      </c>
      <c r="J306" s="53">
        <v>1.2</v>
      </c>
      <c r="K306" s="53">
        <v>0.3</v>
      </c>
      <c r="L306" s="53">
        <f>ROUND((N306/J306)*100,1)</f>
        <v>91.7</v>
      </c>
      <c r="M306" s="53" t="s">
        <v>986</v>
      </c>
      <c r="N306" s="53">
        <v>1.1000000000000001</v>
      </c>
      <c r="O306" s="54" t="s">
        <v>986</v>
      </c>
      <c r="P306" s="30" t="s">
        <v>1498</v>
      </c>
      <c r="Q306" s="50"/>
    </row>
    <row r="307" spans="1:17" ht="15">
      <c r="A307" s="19"/>
      <c r="B307" s="29"/>
      <c r="C307" s="29"/>
      <c r="D307" s="19"/>
      <c r="E307" s="22"/>
      <c r="F307" s="22"/>
      <c r="G307" s="22"/>
      <c r="H307" s="27"/>
      <c r="I307" s="48" t="s">
        <v>1406</v>
      </c>
      <c r="J307" s="53">
        <v>2.2999999999999998</v>
      </c>
      <c r="K307" s="53">
        <v>0.5</v>
      </c>
      <c r="L307" s="53">
        <f>ROUND((N307/J307)*100,1)</f>
        <v>91.3</v>
      </c>
      <c r="M307" s="53" t="s">
        <v>986</v>
      </c>
      <c r="N307" s="53">
        <v>2.1</v>
      </c>
      <c r="O307" s="54" t="s">
        <v>986</v>
      </c>
      <c r="P307" s="30" t="s">
        <v>1498</v>
      </c>
      <c r="Q307" s="50"/>
    </row>
    <row r="308" spans="1:17" ht="15">
      <c r="A308" s="19"/>
      <c r="B308" s="29"/>
      <c r="C308" s="29"/>
      <c r="D308" s="19"/>
      <c r="E308" s="22"/>
      <c r="F308" s="22"/>
      <c r="G308" s="22"/>
      <c r="H308" s="27"/>
      <c r="I308" s="48" t="s">
        <v>1500</v>
      </c>
      <c r="J308" s="53">
        <v>13.6</v>
      </c>
      <c r="K308" s="53">
        <v>2.4</v>
      </c>
      <c r="L308" s="53">
        <f>ROUND((N308/J308)*100,1)</f>
        <v>75.7</v>
      </c>
      <c r="M308" s="53" t="s">
        <v>986</v>
      </c>
      <c r="N308" s="53">
        <v>10.3</v>
      </c>
      <c r="O308" s="54" t="s">
        <v>986</v>
      </c>
      <c r="P308" s="30" t="s">
        <v>1498</v>
      </c>
      <c r="Q308" s="50"/>
    </row>
    <row r="309" spans="1:17" ht="15">
      <c r="A309" s="19"/>
      <c r="B309" s="29"/>
      <c r="C309" s="29"/>
      <c r="D309" s="19"/>
      <c r="E309" s="22"/>
      <c r="F309" s="22"/>
      <c r="G309" s="22"/>
      <c r="H309" s="27"/>
      <c r="I309" s="48" t="s">
        <v>1407</v>
      </c>
      <c r="J309" s="53">
        <v>13.6</v>
      </c>
      <c r="K309" s="53">
        <v>2.2999999999999998</v>
      </c>
      <c r="L309" s="53">
        <f>ROUND((N309/J309)*100,1)</f>
        <v>24.3</v>
      </c>
      <c r="M309" s="53" t="s">
        <v>986</v>
      </c>
      <c r="N309" s="53">
        <v>3.3</v>
      </c>
      <c r="O309" s="54" t="s">
        <v>986</v>
      </c>
      <c r="P309" s="30" t="s">
        <v>1498</v>
      </c>
      <c r="Q309" s="50"/>
    </row>
    <row r="310" spans="1:17" ht="15">
      <c r="A310" s="19"/>
      <c r="B310" s="29"/>
      <c r="C310" s="29"/>
      <c r="D310" s="19"/>
      <c r="E310" s="22"/>
      <c r="F310" s="22"/>
      <c r="G310" s="22"/>
      <c r="H310" s="27"/>
      <c r="I310" s="48" t="s">
        <v>1479</v>
      </c>
      <c r="J310" s="53" t="s">
        <v>986</v>
      </c>
      <c r="K310" s="53" t="s">
        <v>986</v>
      </c>
      <c r="L310" s="53" t="s">
        <v>1398</v>
      </c>
      <c r="M310" s="53" t="s">
        <v>986</v>
      </c>
      <c r="N310" s="53" t="s">
        <v>986</v>
      </c>
      <c r="O310" s="54" t="s">
        <v>986</v>
      </c>
      <c r="P310" s="30" t="s">
        <v>1498</v>
      </c>
      <c r="Q310" s="50"/>
    </row>
    <row r="311" spans="1:17" ht="15">
      <c r="A311" s="19"/>
      <c r="B311" s="29"/>
      <c r="C311" s="29"/>
      <c r="D311" s="19"/>
      <c r="E311" s="22"/>
      <c r="F311" s="22"/>
      <c r="G311" s="22"/>
      <c r="H311" s="27"/>
      <c r="I311" s="48" t="s">
        <v>1577</v>
      </c>
      <c r="J311" s="53" t="s">
        <v>986</v>
      </c>
      <c r="K311" s="53" t="s">
        <v>986</v>
      </c>
      <c r="L311" s="53" t="s">
        <v>1398</v>
      </c>
      <c r="M311" s="53" t="s">
        <v>986</v>
      </c>
      <c r="N311" s="53" t="s">
        <v>986</v>
      </c>
      <c r="O311" s="54" t="s">
        <v>986</v>
      </c>
      <c r="P311" s="30" t="s">
        <v>1498</v>
      </c>
      <c r="Q311" s="50"/>
    </row>
    <row r="312" spans="1:17" ht="15">
      <c r="A312" s="19"/>
      <c r="B312" s="29"/>
      <c r="C312" s="29"/>
      <c r="D312" s="19"/>
      <c r="E312" s="22"/>
      <c r="F312" s="22"/>
      <c r="G312" s="22"/>
      <c r="H312" s="27"/>
      <c r="I312" s="48" t="s">
        <v>1578</v>
      </c>
      <c r="J312" s="53">
        <v>52</v>
      </c>
      <c r="K312" s="53">
        <v>9</v>
      </c>
      <c r="L312" s="53">
        <f>ROUND((N312/J312)*100,1)</f>
        <v>28.7</v>
      </c>
      <c r="M312" s="53" t="s">
        <v>986</v>
      </c>
      <c r="N312" s="53">
        <v>14.9</v>
      </c>
      <c r="O312" s="54" t="s">
        <v>986</v>
      </c>
      <c r="P312" s="30" t="s">
        <v>1498</v>
      </c>
      <c r="Q312" s="50"/>
    </row>
    <row r="313" spans="1:17" ht="15">
      <c r="A313" s="19"/>
      <c r="B313" s="29"/>
      <c r="C313" s="29"/>
      <c r="D313" s="19"/>
      <c r="E313" s="22"/>
      <c r="F313" s="22"/>
      <c r="G313" s="22"/>
      <c r="H313" s="27"/>
      <c r="I313" s="48" t="s">
        <v>1293</v>
      </c>
      <c r="J313" s="53">
        <v>27.6</v>
      </c>
      <c r="K313" s="53">
        <v>13.3</v>
      </c>
      <c r="L313" s="53">
        <f>ROUND((N313/J313)*100,1)</f>
        <v>31.5</v>
      </c>
      <c r="M313" s="53" t="s">
        <v>986</v>
      </c>
      <c r="N313" s="53">
        <v>8.6999999999999993</v>
      </c>
      <c r="O313" s="54" t="s">
        <v>986</v>
      </c>
      <c r="P313" s="30" t="s">
        <v>1498</v>
      </c>
      <c r="Q313" s="50"/>
    </row>
    <row r="314" spans="1:17" ht="15">
      <c r="A314" s="19"/>
      <c r="B314" s="29"/>
      <c r="C314" s="29"/>
      <c r="D314" s="19"/>
      <c r="E314" s="22"/>
      <c r="F314" s="22"/>
      <c r="G314" s="22"/>
      <c r="H314" s="27"/>
      <c r="I314" s="48" t="s">
        <v>1294</v>
      </c>
      <c r="J314" s="53" t="s">
        <v>986</v>
      </c>
      <c r="K314" s="53" t="s">
        <v>986</v>
      </c>
      <c r="L314" s="53" t="s">
        <v>1398</v>
      </c>
      <c r="M314" s="53" t="s">
        <v>986</v>
      </c>
      <c r="N314" s="53" t="s">
        <v>986</v>
      </c>
      <c r="O314" s="54" t="s">
        <v>986</v>
      </c>
      <c r="P314" s="30" t="s">
        <v>1498</v>
      </c>
      <c r="Q314" s="50"/>
    </row>
    <row r="315" spans="1:17" ht="15">
      <c r="A315" s="19"/>
      <c r="B315" s="29"/>
      <c r="C315" s="29"/>
      <c r="D315" s="19"/>
      <c r="E315" s="22"/>
      <c r="F315" s="22"/>
      <c r="G315" s="22"/>
      <c r="H315" s="27"/>
      <c r="I315" s="48" t="s">
        <v>1183</v>
      </c>
      <c r="J315" s="53" t="s">
        <v>986</v>
      </c>
      <c r="K315" s="53" t="s">
        <v>986</v>
      </c>
      <c r="L315" s="53" t="s">
        <v>1398</v>
      </c>
      <c r="M315" s="53" t="s">
        <v>986</v>
      </c>
      <c r="N315" s="53" t="s">
        <v>986</v>
      </c>
      <c r="O315" s="54" t="s">
        <v>986</v>
      </c>
      <c r="P315" s="30" t="s">
        <v>1498</v>
      </c>
      <c r="Q315" s="50"/>
    </row>
    <row r="316" spans="1:17" ht="15">
      <c r="A316" s="19"/>
      <c r="B316" s="29"/>
      <c r="C316" s="29"/>
      <c r="D316" s="19"/>
      <c r="E316" s="22"/>
      <c r="F316" s="22"/>
      <c r="G316" s="22"/>
      <c r="H316" s="27"/>
      <c r="I316" s="48" t="s">
        <v>1184</v>
      </c>
      <c r="J316" s="53">
        <v>109</v>
      </c>
      <c r="K316" s="53">
        <v>16.899999999999999</v>
      </c>
      <c r="L316" s="53">
        <f>ROUND((N316/J316)*100,1)</f>
        <v>37.700000000000003</v>
      </c>
      <c r="M316" s="53" t="s">
        <v>986</v>
      </c>
      <c r="N316" s="53">
        <f>109-67.9</f>
        <v>41.099999999999994</v>
      </c>
      <c r="O316" s="54" t="s">
        <v>986</v>
      </c>
      <c r="P316" s="30" t="s">
        <v>1498</v>
      </c>
      <c r="Q316" s="50"/>
    </row>
    <row r="317" spans="1:17" ht="16" thickBot="1">
      <c r="A317" s="19"/>
      <c r="B317" s="29"/>
      <c r="C317" s="29"/>
      <c r="D317" s="19"/>
      <c r="E317" s="22"/>
      <c r="F317" s="22"/>
      <c r="G317" s="22"/>
      <c r="H317" s="27"/>
      <c r="I317" s="49" t="s">
        <v>1295</v>
      </c>
      <c r="J317" s="55">
        <v>121.4</v>
      </c>
      <c r="K317" s="55">
        <v>16.8</v>
      </c>
      <c r="L317" s="55">
        <f>ROUND((N317/J317)*100,1)</f>
        <v>42.5</v>
      </c>
      <c r="M317" s="55" t="s">
        <v>986</v>
      </c>
      <c r="N317" s="55">
        <f>121.4-69.8</f>
        <v>51.600000000000009</v>
      </c>
      <c r="O317" s="56" t="s">
        <v>986</v>
      </c>
      <c r="P317" s="30" t="s">
        <v>1498</v>
      </c>
      <c r="Q317" s="50"/>
    </row>
    <row r="318" spans="1:17" s="58" customFormat="1" ht="15">
      <c r="A318" s="3"/>
      <c r="B318" s="5"/>
      <c r="C318" s="5"/>
      <c r="D318" s="3"/>
      <c r="E318" s="74"/>
      <c r="F318" s="74"/>
      <c r="G318" s="74"/>
      <c r="H318" s="3"/>
      <c r="I318" s="3"/>
      <c r="J318" s="74"/>
      <c r="K318" s="74"/>
      <c r="L318" s="144"/>
      <c r="M318" s="74"/>
      <c r="N318" s="74"/>
      <c r="O318" s="74"/>
      <c r="P318" s="3"/>
      <c r="Q318" s="73"/>
    </row>
    <row r="319" spans="1:17" s="58" customFormat="1" ht="15">
      <c r="A319" s="293"/>
      <c r="B319" s="297"/>
      <c r="C319" s="297"/>
      <c r="D319" s="293"/>
      <c r="E319" s="292"/>
      <c r="F319" s="292"/>
      <c r="G319" s="292"/>
      <c r="H319" s="293"/>
      <c r="I319" s="293"/>
      <c r="J319" s="292"/>
      <c r="K319" s="292"/>
      <c r="L319" s="295"/>
      <c r="M319" s="292"/>
      <c r="N319" s="292"/>
      <c r="O319" s="292"/>
      <c r="P319" s="293"/>
      <c r="Q319" s="73"/>
    </row>
    <row r="320" spans="1:17" s="58" customFormat="1" ht="15">
      <c r="A320" s="3"/>
      <c r="B320" s="5"/>
      <c r="C320" s="5"/>
      <c r="D320" s="3"/>
      <c r="E320" s="74"/>
      <c r="F320" s="74"/>
      <c r="G320" s="74"/>
      <c r="H320" s="3"/>
      <c r="I320" s="3"/>
      <c r="J320" s="74"/>
      <c r="K320" s="74"/>
      <c r="L320" s="144"/>
      <c r="M320" s="74"/>
      <c r="N320" s="74"/>
      <c r="O320" s="74"/>
      <c r="P320" s="3"/>
      <c r="Q320" s="73"/>
    </row>
    <row r="321" spans="1:17" ht="15">
      <c r="A321" s="19" t="s">
        <v>1197</v>
      </c>
      <c r="B321" s="29" t="s">
        <v>1376</v>
      </c>
      <c r="C321" s="29" t="s">
        <v>1256</v>
      </c>
      <c r="D321" s="19" t="s">
        <v>1209</v>
      </c>
      <c r="E321" s="22">
        <v>1993</v>
      </c>
      <c r="F321" s="22">
        <v>10</v>
      </c>
      <c r="G321" s="22">
        <v>2</v>
      </c>
      <c r="H321" s="19" t="s">
        <v>1363</v>
      </c>
      <c r="I321" s="19" t="s">
        <v>1291</v>
      </c>
      <c r="J321" s="22">
        <v>11.1</v>
      </c>
      <c r="K321" s="22">
        <v>1</v>
      </c>
      <c r="L321" s="75">
        <f t="shared" ref="L321:L332" si="28">(N321/J321)*100</f>
        <v>76.576576576576585</v>
      </c>
      <c r="M321" s="53" t="s">
        <v>986</v>
      </c>
      <c r="N321" s="22">
        <f>11.1-2.6</f>
        <v>8.5</v>
      </c>
      <c r="O321" s="53" t="s">
        <v>986</v>
      </c>
      <c r="P321" s="19" t="s">
        <v>1202</v>
      </c>
      <c r="Q321" s="50"/>
    </row>
    <row r="322" spans="1:17" ht="15">
      <c r="A322" s="19"/>
      <c r="B322" s="29"/>
      <c r="C322" s="29"/>
      <c r="D322" s="19"/>
      <c r="E322" s="22"/>
      <c r="F322" s="22"/>
      <c r="G322" s="22"/>
      <c r="H322" s="19"/>
      <c r="I322" s="19" t="s">
        <v>1495</v>
      </c>
      <c r="J322" s="22">
        <v>3</v>
      </c>
      <c r="K322" s="22">
        <v>0.6</v>
      </c>
      <c r="L322" s="75">
        <f t="shared" si="28"/>
        <v>86.666666666666671</v>
      </c>
      <c r="M322" s="53" t="s">
        <v>986</v>
      </c>
      <c r="N322" s="22">
        <v>2.6</v>
      </c>
      <c r="O322" s="53" t="s">
        <v>986</v>
      </c>
      <c r="P322" s="19" t="s">
        <v>1202</v>
      </c>
      <c r="Q322" s="50"/>
    </row>
    <row r="323" spans="1:17" ht="15">
      <c r="A323" s="19"/>
      <c r="B323" s="29"/>
      <c r="C323" s="29"/>
      <c r="D323" s="19"/>
      <c r="E323" s="22"/>
      <c r="F323" s="22"/>
      <c r="G323" s="22"/>
      <c r="H323" s="19"/>
      <c r="I323" s="19" t="s">
        <v>1261</v>
      </c>
      <c r="J323" s="22">
        <v>0.2</v>
      </c>
      <c r="K323" s="22">
        <v>0.1</v>
      </c>
      <c r="L323" s="75">
        <f t="shared" si="28"/>
        <v>0</v>
      </c>
      <c r="M323" s="53" t="s">
        <v>986</v>
      </c>
      <c r="N323" s="22">
        <v>0</v>
      </c>
      <c r="O323" s="53" t="s">
        <v>986</v>
      </c>
      <c r="P323" s="19" t="s">
        <v>1202</v>
      </c>
      <c r="Q323" s="50"/>
    </row>
    <row r="324" spans="1:17" ht="15">
      <c r="A324" s="19"/>
      <c r="B324" s="29"/>
      <c r="C324" s="29"/>
      <c r="D324" s="19"/>
      <c r="E324" s="22"/>
      <c r="F324" s="22"/>
      <c r="G324" s="22"/>
      <c r="H324" s="19"/>
      <c r="I324" s="19" t="s">
        <v>1073</v>
      </c>
      <c r="J324" s="22">
        <v>2.2000000000000002</v>
      </c>
      <c r="K324" s="22">
        <v>0.2</v>
      </c>
      <c r="L324" s="75">
        <f t="shared" si="28"/>
        <v>95.454545454545453</v>
      </c>
      <c r="M324" s="53" t="s">
        <v>986</v>
      </c>
      <c r="N324" s="22">
        <v>2.1</v>
      </c>
      <c r="O324" s="53" t="s">
        <v>986</v>
      </c>
      <c r="P324" s="19" t="s">
        <v>1202</v>
      </c>
      <c r="Q324" s="50"/>
    </row>
    <row r="325" spans="1:17" ht="15">
      <c r="A325" s="19"/>
      <c r="B325" s="29"/>
      <c r="C325" s="29"/>
      <c r="D325" s="19"/>
      <c r="E325" s="22"/>
      <c r="F325" s="22"/>
      <c r="G325" s="22"/>
      <c r="H325" s="19"/>
      <c r="I325" s="19" t="s">
        <v>1298</v>
      </c>
      <c r="J325" s="22">
        <v>3.9</v>
      </c>
      <c r="K325" s="22">
        <v>0.4</v>
      </c>
      <c r="L325" s="75">
        <f t="shared" si="28"/>
        <v>94.871794871794876</v>
      </c>
      <c r="M325" s="53" t="s">
        <v>986</v>
      </c>
      <c r="N325" s="22">
        <v>3.7</v>
      </c>
      <c r="O325" s="53" t="s">
        <v>986</v>
      </c>
      <c r="P325" s="19" t="s">
        <v>1202</v>
      </c>
      <c r="Q325" s="50"/>
    </row>
    <row r="326" spans="1:17" ht="15">
      <c r="A326" s="19"/>
      <c r="B326" s="29"/>
      <c r="C326" s="29"/>
      <c r="D326" s="19"/>
      <c r="E326" s="22"/>
      <c r="F326" s="22"/>
      <c r="G326" s="22"/>
      <c r="H326" s="19"/>
      <c r="I326" s="19" t="s">
        <v>1500</v>
      </c>
      <c r="J326" s="22">
        <v>13.9</v>
      </c>
      <c r="K326" s="22">
        <v>1.2</v>
      </c>
      <c r="L326" s="75">
        <f t="shared" si="28"/>
        <v>83.453237410071935</v>
      </c>
      <c r="M326" s="53" t="s">
        <v>986</v>
      </c>
      <c r="N326" s="22">
        <v>11.6</v>
      </c>
      <c r="O326" s="53" t="s">
        <v>986</v>
      </c>
      <c r="P326" s="19" t="s">
        <v>1202</v>
      </c>
      <c r="Q326" s="50"/>
    </row>
    <row r="327" spans="1:17" ht="15">
      <c r="A327" s="19"/>
      <c r="B327" s="29"/>
      <c r="C327" s="29"/>
      <c r="D327" s="19"/>
      <c r="E327" s="22"/>
      <c r="F327" s="22"/>
      <c r="G327" s="22"/>
      <c r="H327" s="19"/>
      <c r="I327" s="19" t="s">
        <v>1299</v>
      </c>
      <c r="J327" s="22">
        <v>18.3</v>
      </c>
      <c r="K327" s="22">
        <v>1.3</v>
      </c>
      <c r="L327" s="75">
        <f t="shared" si="28"/>
        <v>75.956284153005456</v>
      </c>
      <c r="M327" s="53" t="s">
        <v>986</v>
      </c>
      <c r="N327" s="22">
        <v>13.9</v>
      </c>
      <c r="O327" s="53" t="s">
        <v>986</v>
      </c>
      <c r="P327" s="19" t="s">
        <v>1202</v>
      </c>
      <c r="Q327" s="50"/>
    </row>
    <row r="328" spans="1:17" ht="15">
      <c r="A328" s="19"/>
      <c r="B328" s="29"/>
      <c r="C328" s="29"/>
      <c r="D328" s="19"/>
      <c r="E328" s="22"/>
      <c r="F328" s="22"/>
      <c r="G328" s="22"/>
      <c r="H328" s="19"/>
      <c r="I328" s="19" t="s">
        <v>1479</v>
      </c>
      <c r="J328" s="22">
        <v>32.5</v>
      </c>
      <c r="K328" s="22">
        <v>4.3</v>
      </c>
      <c r="L328" s="75">
        <f t="shared" si="28"/>
        <v>49.230769230769234</v>
      </c>
      <c r="M328" s="53" t="s">
        <v>986</v>
      </c>
      <c r="N328" s="22">
        <f>32.5-16.5</f>
        <v>16</v>
      </c>
      <c r="O328" s="53" t="s">
        <v>986</v>
      </c>
      <c r="P328" s="19" t="s">
        <v>1202</v>
      </c>
      <c r="Q328" s="50"/>
    </row>
    <row r="329" spans="1:17" ht="15">
      <c r="A329" s="19"/>
      <c r="B329" s="29"/>
      <c r="C329" s="29"/>
      <c r="D329" s="19"/>
      <c r="E329" s="22"/>
      <c r="F329" s="22"/>
      <c r="G329" s="22"/>
      <c r="H329" s="19"/>
      <c r="I329" s="19" t="s">
        <v>1577</v>
      </c>
      <c r="J329" s="22">
        <v>11.1</v>
      </c>
      <c r="K329" s="22">
        <v>1.2</v>
      </c>
      <c r="L329" s="75">
        <f t="shared" si="28"/>
        <v>44.144144144144143</v>
      </c>
      <c r="M329" s="53" t="s">
        <v>986</v>
      </c>
      <c r="N329" s="22">
        <f>11.1-6.2</f>
        <v>4.8999999999999995</v>
      </c>
      <c r="O329" s="53" t="s">
        <v>986</v>
      </c>
      <c r="P329" s="19" t="s">
        <v>1202</v>
      </c>
      <c r="Q329" s="50"/>
    </row>
    <row r="330" spans="1:17" ht="15">
      <c r="A330" s="19"/>
      <c r="B330" s="29"/>
      <c r="C330" s="29"/>
      <c r="D330" s="19"/>
      <c r="E330" s="22"/>
      <c r="F330" s="22"/>
      <c r="G330" s="22"/>
      <c r="H330" s="19"/>
      <c r="I330" s="19" t="s">
        <v>1578</v>
      </c>
      <c r="J330" s="22">
        <v>43.6</v>
      </c>
      <c r="K330" s="22">
        <v>4.5</v>
      </c>
      <c r="L330" s="75">
        <f t="shared" si="28"/>
        <v>47.935779816513765</v>
      </c>
      <c r="M330" s="53" t="s">
        <v>986</v>
      </c>
      <c r="N330" s="22">
        <f>43.6-22.7</f>
        <v>20.900000000000002</v>
      </c>
      <c r="O330" s="53" t="s">
        <v>986</v>
      </c>
      <c r="P330" s="19" t="s">
        <v>1202</v>
      </c>
      <c r="Q330" s="50"/>
    </row>
    <row r="331" spans="1:17" ht="15">
      <c r="A331" s="19"/>
      <c r="B331" s="29"/>
      <c r="C331" s="29"/>
      <c r="D331" s="19"/>
      <c r="E331" s="22"/>
      <c r="F331" s="22"/>
      <c r="G331" s="22"/>
      <c r="H331" s="19"/>
      <c r="I331" s="19" t="s">
        <v>1418</v>
      </c>
      <c r="J331" s="22">
        <v>68.2</v>
      </c>
      <c r="K331" s="22">
        <v>12.5</v>
      </c>
      <c r="L331" s="75">
        <f t="shared" si="28"/>
        <v>31.524926686217007</v>
      </c>
      <c r="M331" s="53" t="s">
        <v>986</v>
      </c>
      <c r="N331" s="22">
        <f>68.2-46.7</f>
        <v>21.5</v>
      </c>
      <c r="O331" s="53" t="s">
        <v>986</v>
      </c>
      <c r="P331" s="19" t="s">
        <v>1202</v>
      </c>
      <c r="Q331" s="50"/>
    </row>
    <row r="332" spans="1:17" ht="15">
      <c r="A332" s="19"/>
      <c r="B332" s="29"/>
      <c r="C332" s="29"/>
      <c r="D332" s="19"/>
      <c r="E332" s="22"/>
      <c r="F332" s="22"/>
      <c r="G332" s="22"/>
      <c r="H332" s="19"/>
      <c r="I332" s="19" t="s">
        <v>1294</v>
      </c>
      <c r="J332" s="22">
        <v>4</v>
      </c>
      <c r="K332" s="22">
        <v>2.2000000000000002</v>
      </c>
      <c r="L332" s="75">
        <f t="shared" si="28"/>
        <v>70</v>
      </c>
      <c r="M332" s="53" t="s">
        <v>986</v>
      </c>
      <c r="N332" s="22">
        <v>2.8</v>
      </c>
      <c r="O332" s="53" t="s">
        <v>986</v>
      </c>
      <c r="P332" s="19" t="s">
        <v>1202</v>
      </c>
      <c r="Q332" s="50"/>
    </row>
    <row r="333" spans="1:17" ht="15">
      <c r="A333" s="19"/>
      <c r="B333" s="29"/>
      <c r="C333" s="29"/>
      <c r="D333" s="19"/>
      <c r="E333" s="22"/>
      <c r="F333" s="22"/>
      <c r="G333" s="22"/>
      <c r="H333" s="19"/>
      <c r="I333" s="19" t="s">
        <v>1183</v>
      </c>
      <c r="J333" s="22" t="s">
        <v>986</v>
      </c>
      <c r="K333" s="22" t="s">
        <v>986</v>
      </c>
      <c r="L333" s="75" t="s">
        <v>986</v>
      </c>
      <c r="M333" s="53" t="s">
        <v>986</v>
      </c>
      <c r="N333" s="22" t="s">
        <v>986</v>
      </c>
      <c r="O333" s="53" t="s">
        <v>986</v>
      </c>
      <c r="P333" s="19" t="s">
        <v>1202</v>
      </c>
      <c r="Q333" s="50"/>
    </row>
    <row r="334" spans="1:17" ht="15">
      <c r="A334" s="19"/>
      <c r="B334" s="29"/>
      <c r="C334" s="29"/>
      <c r="D334" s="19"/>
      <c r="E334" s="22"/>
      <c r="F334" s="22"/>
      <c r="G334" s="22"/>
      <c r="H334" s="19"/>
      <c r="I334" s="19" t="s">
        <v>1184</v>
      </c>
      <c r="J334" s="22">
        <v>161.19999999999999</v>
      </c>
      <c r="K334" s="22">
        <v>12.4</v>
      </c>
      <c r="L334" s="75">
        <f>(N334/J334)*100</f>
        <v>49.813895781637711</v>
      </c>
      <c r="M334" s="53" t="s">
        <v>986</v>
      </c>
      <c r="N334" s="22">
        <f>161.2-80.9</f>
        <v>80.299999999999983</v>
      </c>
      <c r="O334" s="53" t="s">
        <v>986</v>
      </c>
      <c r="P334" s="19" t="s">
        <v>1202</v>
      </c>
      <c r="Q334" s="50"/>
    </row>
    <row r="335" spans="1:17" ht="15">
      <c r="A335" s="19"/>
      <c r="B335" s="29"/>
      <c r="C335" s="29"/>
      <c r="D335" s="19"/>
      <c r="E335" s="22"/>
      <c r="F335" s="22"/>
      <c r="G335" s="22"/>
      <c r="H335" s="19"/>
      <c r="I335" s="19" t="s">
        <v>1295</v>
      </c>
      <c r="J335" s="22">
        <v>177.6</v>
      </c>
      <c r="K335" s="22">
        <v>12.3</v>
      </c>
      <c r="L335" s="75">
        <f>(N335/J335)*100</f>
        <v>52.702702702702695</v>
      </c>
      <c r="M335" s="53" t="s">
        <v>986</v>
      </c>
      <c r="N335" s="22">
        <f>177.6-84</f>
        <v>93.6</v>
      </c>
      <c r="O335" s="53" t="s">
        <v>986</v>
      </c>
      <c r="P335" s="19" t="s">
        <v>1202</v>
      </c>
      <c r="Q335" s="50"/>
    </row>
    <row r="336" spans="1:17" ht="15">
      <c r="A336" s="19" t="s">
        <v>1197</v>
      </c>
      <c r="B336" s="29" t="s">
        <v>1376</v>
      </c>
      <c r="C336" s="29" t="s">
        <v>1256</v>
      </c>
      <c r="D336" s="19" t="s">
        <v>1341</v>
      </c>
      <c r="E336" s="22">
        <v>1993</v>
      </c>
      <c r="F336" s="22">
        <v>9</v>
      </c>
      <c r="G336" s="22">
        <v>15</v>
      </c>
      <c r="H336" s="19" t="s">
        <v>1363</v>
      </c>
      <c r="I336" s="19" t="s">
        <v>544</v>
      </c>
      <c r="J336" s="22">
        <v>13.3</v>
      </c>
      <c r="K336" s="22">
        <v>1.1000000000000001</v>
      </c>
      <c r="L336" s="75">
        <f>(N336/J336)*100</f>
        <v>99.248120300751879</v>
      </c>
      <c r="M336" s="53" t="s">
        <v>986</v>
      </c>
      <c r="N336" s="22">
        <v>13.2</v>
      </c>
      <c r="O336" s="53" t="s">
        <v>986</v>
      </c>
      <c r="P336" s="19" t="s">
        <v>1202</v>
      </c>
      <c r="Q336" s="50"/>
    </row>
    <row r="337" spans="1:17" ht="15">
      <c r="A337" s="19"/>
      <c r="B337" s="29"/>
      <c r="C337" s="29"/>
      <c r="D337" s="19"/>
      <c r="E337" s="22"/>
      <c r="F337" s="22"/>
      <c r="G337" s="22"/>
      <c r="H337" s="19"/>
      <c r="I337" s="19" t="s">
        <v>1495</v>
      </c>
      <c r="J337" s="22" t="s">
        <v>986</v>
      </c>
      <c r="K337" s="22" t="s">
        <v>986</v>
      </c>
      <c r="L337" s="75" t="s">
        <v>986</v>
      </c>
      <c r="M337" s="53" t="s">
        <v>986</v>
      </c>
      <c r="N337" s="22" t="s">
        <v>986</v>
      </c>
      <c r="O337" s="53" t="s">
        <v>986</v>
      </c>
      <c r="P337" s="19" t="s">
        <v>1202</v>
      </c>
      <c r="Q337" s="50"/>
    </row>
    <row r="338" spans="1:17" ht="15">
      <c r="A338" s="19"/>
      <c r="B338" s="29"/>
      <c r="C338" s="29"/>
      <c r="D338" s="19"/>
      <c r="E338" s="22"/>
      <c r="F338" s="22"/>
      <c r="G338" s="22"/>
      <c r="H338" s="19"/>
      <c r="I338" s="19" t="s">
        <v>1261</v>
      </c>
      <c r="J338" s="22">
        <v>0.1</v>
      </c>
      <c r="K338" s="22">
        <v>0.1</v>
      </c>
      <c r="L338" s="75">
        <f t="shared" ref="L338:L344" si="29">(N338/J338)*100</f>
        <v>0</v>
      </c>
      <c r="M338" s="53" t="s">
        <v>986</v>
      </c>
      <c r="N338" s="22">
        <v>0</v>
      </c>
      <c r="O338" s="53" t="s">
        <v>986</v>
      </c>
      <c r="P338" s="19" t="s">
        <v>1202</v>
      </c>
      <c r="Q338" s="50"/>
    </row>
    <row r="339" spans="1:17" ht="15">
      <c r="A339" s="19"/>
      <c r="B339" s="29"/>
      <c r="C339" s="29"/>
      <c r="D339" s="19"/>
      <c r="E339" s="22"/>
      <c r="F339" s="22"/>
      <c r="G339" s="22"/>
      <c r="H339" s="19"/>
      <c r="I339" s="19" t="s">
        <v>1073</v>
      </c>
      <c r="J339" s="22">
        <v>1.7</v>
      </c>
      <c r="K339" s="22">
        <v>0.2</v>
      </c>
      <c r="L339" s="75">
        <f t="shared" si="29"/>
        <v>94.117647058823536</v>
      </c>
      <c r="M339" s="53" t="s">
        <v>986</v>
      </c>
      <c r="N339" s="22">
        <v>1.6</v>
      </c>
      <c r="O339" s="53" t="s">
        <v>986</v>
      </c>
      <c r="P339" s="19" t="s">
        <v>1202</v>
      </c>
      <c r="Q339" s="50"/>
    </row>
    <row r="340" spans="1:17" ht="15">
      <c r="A340" s="19"/>
      <c r="B340" s="29"/>
      <c r="C340" s="29"/>
      <c r="D340" s="19"/>
      <c r="E340" s="22"/>
      <c r="F340" s="22"/>
      <c r="G340" s="22"/>
      <c r="H340" s="19"/>
      <c r="I340" s="19" t="s">
        <v>1406</v>
      </c>
      <c r="J340" s="22">
        <v>3</v>
      </c>
      <c r="K340" s="22">
        <v>0.3</v>
      </c>
      <c r="L340" s="75">
        <f t="shared" si="29"/>
        <v>96.666666666666671</v>
      </c>
      <c r="M340" s="53" t="s">
        <v>986</v>
      </c>
      <c r="N340" s="22">
        <v>2.9</v>
      </c>
      <c r="O340" s="53" t="s">
        <v>986</v>
      </c>
      <c r="P340" s="19" t="s">
        <v>1202</v>
      </c>
      <c r="Q340" s="50"/>
    </row>
    <row r="341" spans="1:17" ht="15">
      <c r="A341" s="19"/>
      <c r="B341" s="29"/>
      <c r="C341" s="29"/>
      <c r="D341" s="19"/>
      <c r="E341" s="22"/>
      <c r="F341" s="22"/>
      <c r="G341" s="22"/>
      <c r="H341" s="19"/>
      <c r="I341" s="19" t="s">
        <v>1500</v>
      </c>
      <c r="J341" s="22">
        <v>11.2</v>
      </c>
      <c r="K341" s="22">
        <v>1.3</v>
      </c>
      <c r="L341" s="75">
        <f t="shared" si="29"/>
        <v>84.821428571428584</v>
      </c>
      <c r="M341" s="53" t="s">
        <v>986</v>
      </c>
      <c r="N341" s="22">
        <v>9.5</v>
      </c>
      <c r="O341" s="53" t="s">
        <v>986</v>
      </c>
      <c r="P341" s="19" t="s">
        <v>1202</v>
      </c>
      <c r="Q341" s="50"/>
    </row>
    <row r="342" spans="1:17" ht="15">
      <c r="A342" s="19"/>
      <c r="B342" s="29"/>
      <c r="C342" s="29"/>
      <c r="D342" s="19"/>
      <c r="E342" s="22"/>
      <c r="F342" s="22"/>
      <c r="G342" s="22"/>
      <c r="H342" s="19"/>
      <c r="I342" s="19" t="s">
        <v>1407</v>
      </c>
      <c r="J342" s="22">
        <v>12.7</v>
      </c>
      <c r="K342" s="22">
        <v>1.6</v>
      </c>
      <c r="L342" s="75">
        <f t="shared" si="29"/>
        <v>75.590551181102356</v>
      </c>
      <c r="M342" s="53" t="s">
        <v>986</v>
      </c>
      <c r="N342" s="22">
        <v>9.6</v>
      </c>
      <c r="O342" s="53" t="s">
        <v>986</v>
      </c>
      <c r="P342" s="19" t="s">
        <v>1202</v>
      </c>
      <c r="Q342" s="50"/>
    </row>
    <row r="343" spans="1:17" ht="15">
      <c r="A343" s="19"/>
      <c r="B343" s="29"/>
      <c r="C343" s="29"/>
      <c r="D343" s="19"/>
      <c r="E343" s="22"/>
      <c r="F343" s="22"/>
      <c r="G343" s="22"/>
      <c r="H343" s="19"/>
      <c r="I343" s="19" t="s">
        <v>1479</v>
      </c>
      <c r="J343" s="22">
        <v>5.7</v>
      </c>
      <c r="K343" s="22">
        <v>3.5</v>
      </c>
      <c r="L343" s="75">
        <f t="shared" si="29"/>
        <v>22.807017543859647</v>
      </c>
      <c r="M343" s="53" t="s">
        <v>986</v>
      </c>
      <c r="N343" s="22">
        <v>1.3</v>
      </c>
      <c r="O343" s="53" t="s">
        <v>986</v>
      </c>
      <c r="P343" s="19" t="s">
        <v>1202</v>
      </c>
      <c r="Q343" s="50"/>
    </row>
    <row r="344" spans="1:17" ht="15">
      <c r="A344" s="19"/>
      <c r="B344" s="29"/>
      <c r="C344" s="29"/>
      <c r="D344" s="19"/>
      <c r="E344" s="22"/>
      <c r="F344" s="22"/>
      <c r="G344" s="22"/>
      <c r="H344" s="19"/>
      <c r="I344" s="19" t="s">
        <v>1577</v>
      </c>
      <c r="J344" s="22">
        <v>11.6</v>
      </c>
      <c r="K344" s="22">
        <v>1.6</v>
      </c>
      <c r="L344" s="75">
        <f t="shared" si="29"/>
        <v>49.137931034482762</v>
      </c>
      <c r="M344" s="53" t="s">
        <v>986</v>
      </c>
      <c r="N344" s="22">
        <v>5.7</v>
      </c>
      <c r="O344" s="53" t="s">
        <v>986</v>
      </c>
      <c r="P344" s="19" t="s">
        <v>1202</v>
      </c>
      <c r="Q344" s="50"/>
    </row>
    <row r="345" spans="1:17" ht="15">
      <c r="A345" s="19"/>
      <c r="B345" s="29"/>
      <c r="C345" s="29"/>
      <c r="D345" s="19"/>
      <c r="E345" s="22"/>
      <c r="F345" s="22"/>
      <c r="G345" s="22"/>
      <c r="H345" s="19"/>
      <c r="I345" s="19" t="s">
        <v>1578</v>
      </c>
      <c r="J345" s="22">
        <v>17.399999999999999</v>
      </c>
      <c r="K345" s="22">
        <v>3.9</v>
      </c>
      <c r="L345" s="75" t="s">
        <v>986</v>
      </c>
      <c r="M345" s="53" t="s">
        <v>986</v>
      </c>
      <c r="N345" s="22">
        <v>7.1</v>
      </c>
      <c r="O345" s="53" t="s">
        <v>986</v>
      </c>
      <c r="P345" s="19" t="s">
        <v>1202</v>
      </c>
      <c r="Q345" s="50"/>
    </row>
    <row r="346" spans="1:17" ht="15">
      <c r="A346" s="19"/>
      <c r="B346" s="29"/>
      <c r="C346" s="29"/>
      <c r="D346" s="19"/>
      <c r="E346" s="22"/>
      <c r="F346" s="22"/>
      <c r="G346" s="22"/>
      <c r="H346" s="19"/>
      <c r="I346" s="19" t="s">
        <v>1293</v>
      </c>
      <c r="J346" s="22">
        <v>6.6</v>
      </c>
      <c r="K346" s="22">
        <v>1.2</v>
      </c>
      <c r="L346" s="75">
        <f>(N346/J346)*100</f>
        <v>78.787878787878796</v>
      </c>
      <c r="M346" s="53" t="s">
        <v>986</v>
      </c>
      <c r="N346" s="22">
        <v>5.2</v>
      </c>
      <c r="O346" s="53" t="s">
        <v>986</v>
      </c>
      <c r="P346" s="19" t="s">
        <v>1202</v>
      </c>
      <c r="Q346" s="50"/>
    </row>
    <row r="347" spans="1:17" ht="15">
      <c r="A347" s="19"/>
      <c r="B347" s="29"/>
      <c r="C347" s="29"/>
      <c r="D347" s="19"/>
      <c r="E347" s="22"/>
      <c r="F347" s="22"/>
      <c r="G347" s="22"/>
      <c r="H347" s="19"/>
      <c r="I347" s="19" t="s">
        <v>1294</v>
      </c>
      <c r="J347" s="22">
        <v>23.1</v>
      </c>
      <c r="K347" s="22">
        <v>9.9</v>
      </c>
      <c r="L347" s="75">
        <f>(N347/J347)*100</f>
        <v>39.82683982683983</v>
      </c>
      <c r="M347" s="53" t="s">
        <v>986</v>
      </c>
      <c r="N347" s="22">
        <f>23.1-13.9</f>
        <v>9.2000000000000011</v>
      </c>
      <c r="O347" s="53" t="s">
        <v>986</v>
      </c>
      <c r="P347" s="19" t="s">
        <v>1202</v>
      </c>
      <c r="Q347" s="50"/>
    </row>
    <row r="348" spans="1:17" ht="15">
      <c r="A348" s="19"/>
      <c r="B348" s="29"/>
      <c r="C348" s="29"/>
      <c r="D348" s="19"/>
      <c r="E348" s="22"/>
      <c r="F348" s="22"/>
      <c r="G348" s="22"/>
      <c r="H348" s="19"/>
      <c r="I348" s="19" t="s">
        <v>1183</v>
      </c>
      <c r="J348" s="22" t="s">
        <v>986</v>
      </c>
      <c r="K348" s="22" t="s">
        <v>986</v>
      </c>
      <c r="L348" s="75" t="s">
        <v>986</v>
      </c>
      <c r="M348" s="53" t="s">
        <v>986</v>
      </c>
      <c r="N348" s="22" t="s">
        <v>986</v>
      </c>
      <c r="O348" s="53" t="s">
        <v>986</v>
      </c>
      <c r="P348" s="19" t="s">
        <v>1202</v>
      </c>
      <c r="Q348" s="50"/>
    </row>
    <row r="349" spans="1:17" ht="15">
      <c r="A349" s="19"/>
      <c r="B349" s="29"/>
      <c r="C349" s="29"/>
      <c r="D349" s="19"/>
      <c r="E349" s="22"/>
      <c r="F349" s="22"/>
      <c r="G349" s="22"/>
      <c r="H349" s="19"/>
      <c r="I349" s="19" t="s">
        <v>1184</v>
      </c>
      <c r="J349" s="22">
        <v>88.6</v>
      </c>
      <c r="K349" s="22">
        <v>12.6</v>
      </c>
      <c r="L349" s="75">
        <f t="shared" ref="L349:L356" si="30">(N349/J349)*100</f>
        <v>56.433408577878097</v>
      </c>
      <c r="M349" s="53" t="s">
        <v>986</v>
      </c>
      <c r="N349" s="22">
        <f>88.6-38.6</f>
        <v>49.999999999999993</v>
      </c>
      <c r="O349" s="53" t="s">
        <v>986</v>
      </c>
      <c r="P349" s="19" t="s">
        <v>1202</v>
      </c>
      <c r="Q349" s="50"/>
    </row>
    <row r="350" spans="1:17" ht="15">
      <c r="A350" s="19"/>
      <c r="B350" s="29"/>
      <c r="C350" s="29"/>
      <c r="D350" s="19"/>
      <c r="E350" s="22"/>
      <c r="F350" s="22"/>
      <c r="G350" s="22"/>
      <c r="H350" s="19"/>
      <c r="I350" s="19" t="s">
        <v>1295</v>
      </c>
      <c r="J350" s="22">
        <v>103.7</v>
      </c>
      <c r="K350" s="22">
        <v>12.7</v>
      </c>
      <c r="L350" s="75">
        <f t="shared" si="30"/>
        <v>62.487945998071368</v>
      </c>
      <c r="M350" s="53" t="s">
        <v>986</v>
      </c>
      <c r="N350" s="22">
        <f>103.7-38.9</f>
        <v>64.800000000000011</v>
      </c>
      <c r="O350" s="53" t="s">
        <v>986</v>
      </c>
      <c r="P350" s="19" t="s">
        <v>1202</v>
      </c>
      <c r="Q350" s="50"/>
    </row>
    <row r="351" spans="1:17" ht="15">
      <c r="A351" s="19" t="s">
        <v>1197</v>
      </c>
      <c r="B351" s="29" t="s">
        <v>1376</v>
      </c>
      <c r="C351" s="29" t="s">
        <v>1256</v>
      </c>
      <c r="D351" s="19" t="s">
        <v>1257</v>
      </c>
      <c r="E351" s="22">
        <v>1992</v>
      </c>
      <c r="F351" s="22">
        <v>9</v>
      </c>
      <c r="G351" s="22">
        <v>21</v>
      </c>
      <c r="H351" s="19" t="s">
        <v>1363</v>
      </c>
      <c r="I351" s="19" t="s">
        <v>544</v>
      </c>
      <c r="J351" s="22">
        <v>13.7</v>
      </c>
      <c r="K351" s="22">
        <v>1.9</v>
      </c>
      <c r="L351" s="75">
        <f t="shared" si="30"/>
        <v>99.270072992700733</v>
      </c>
      <c r="M351" s="53" t="s">
        <v>986</v>
      </c>
      <c r="N351" s="22">
        <v>13.6</v>
      </c>
      <c r="O351" s="53" t="s">
        <v>986</v>
      </c>
      <c r="P351" s="19" t="s">
        <v>1297</v>
      </c>
      <c r="Q351" s="50"/>
    </row>
    <row r="352" spans="1:17" ht="15">
      <c r="A352" s="19"/>
      <c r="B352" s="29"/>
      <c r="C352" s="29"/>
      <c r="D352" s="19"/>
      <c r="E352" s="22"/>
      <c r="F352" s="22"/>
      <c r="G352" s="22"/>
      <c r="H352" s="19"/>
      <c r="I352" s="19" t="s">
        <v>1495</v>
      </c>
      <c r="J352" s="22">
        <v>2.2999999999999998</v>
      </c>
      <c r="K352" s="22">
        <v>0.7</v>
      </c>
      <c r="L352" s="75">
        <f t="shared" si="30"/>
        <v>73.913043478260875</v>
      </c>
      <c r="M352" s="53" t="s">
        <v>986</v>
      </c>
      <c r="N352" s="22">
        <v>1.7</v>
      </c>
      <c r="O352" s="53" t="s">
        <v>986</v>
      </c>
      <c r="P352" s="19" t="s">
        <v>1297</v>
      </c>
      <c r="Q352" s="50"/>
    </row>
    <row r="353" spans="1:17" ht="15">
      <c r="A353" s="19"/>
      <c r="B353" s="29"/>
      <c r="C353" s="29"/>
      <c r="D353" s="19"/>
      <c r="E353" s="22"/>
      <c r="F353" s="22"/>
      <c r="G353" s="22"/>
      <c r="H353" s="19"/>
      <c r="I353" s="19" t="s">
        <v>1261</v>
      </c>
      <c r="J353" s="22">
        <v>0.2</v>
      </c>
      <c r="K353" s="22">
        <v>0.1</v>
      </c>
      <c r="L353" s="75">
        <f t="shared" si="30"/>
        <v>50</v>
      </c>
      <c r="M353" s="53" t="s">
        <v>986</v>
      </c>
      <c r="N353" s="22">
        <v>0.1</v>
      </c>
      <c r="O353" s="53" t="s">
        <v>986</v>
      </c>
      <c r="P353" s="19" t="s">
        <v>1297</v>
      </c>
      <c r="Q353" s="50"/>
    </row>
    <row r="354" spans="1:17" ht="15">
      <c r="A354" s="19"/>
      <c r="B354" s="29"/>
      <c r="C354" s="29"/>
      <c r="D354" s="19"/>
      <c r="E354" s="22"/>
      <c r="F354" s="22"/>
      <c r="G354" s="22"/>
      <c r="H354" s="19"/>
      <c r="I354" s="19" t="s">
        <v>1073</v>
      </c>
      <c r="J354" s="22">
        <v>2.2000000000000002</v>
      </c>
      <c r="K354" s="22">
        <v>0.2</v>
      </c>
      <c r="L354" s="75">
        <f t="shared" si="30"/>
        <v>100</v>
      </c>
      <c r="M354" s="53" t="s">
        <v>986</v>
      </c>
      <c r="N354" s="22">
        <v>2.2000000000000002</v>
      </c>
      <c r="O354" s="53" t="s">
        <v>986</v>
      </c>
      <c r="P354" s="19" t="s">
        <v>1297</v>
      </c>
      <c r="Q354" s="50"/>
    </row>
    <row r="355" spans="1:17" ht="15">
      <c r="A355" s="19"/>
      <c r="B355" s="29"/>
      <c r="C355" s="29"/>
      <c r="D355" s="19"/>
      <c r="E355" s="22"/>
      <c r="F355" s="22"/>
      <c r="G355" s="22"/>
      <c r="H355" s="19"/>
      <c r="I355" s="19" t="s">
        <v>1406</v>
      </c>
      <c r="J355" s="22">
        <v>3.9</v>
      </c>
      <c r="K355" s="22">
        <v>0.4</v>
      </c>
      <c r="L355" s="75">
        <f t="shared" si="30"/>
        <v>100</v>
      </c>
      <c r="M355" s="53" t="s">
        <v>986</v>
      </c>
      <c r="N355" s="22">
        <v>3.9</v>
      </c>
      <c r="O355" s="53" t="s">
        <v>986</v>
      </c>
      <c r="P355" s="19" t="s">
        <v>1297</v>
      </c>
      <c r="Q355" s="50"/>
    </row>
    <row r="356" spans="1:17" ht="15">
      <c r="A356" s="19"/>
      <c r="B356" s="29"/>
      <c r="C356" s="29"/>
      <c r="D356" s="19"/>
      <c r="E356" s="22"/>
      <c r="F356" s="22"/>
      <c r="G356" s="22"/>
      <c r="H356" s="19"/>
      <c r="I356" s="19" t="s">
        <v>1500</v>
      </c>
      <c r="J356" s="22">
        <v>10.7</v>
      </c>
      <c r="K356" s="22">
        <v>0.8</v>
      </c>
      <c r="L356" s="75">
        <f t="shared" si="30"/>
        <v>93.45794392523365</v>
      </c>
      <c r="M356" s="53" t="s">
        <v>986</v>
      </c>
      <c r="N356" s="22">
        <v>10</v>
      </c>
      <c r="O356" s="53" t="s">
        <v>986</v>
      </c>
      <c r="P356" s="19" t="s">
        <v>1297</v>
      </c>
      <c r="Q356" s="50"/>
    </row>
    <row r="357" spans="1:17" ht="15">
      <c r="A357" s="19"/>
      <c r="B357" s="29"/>
      <c r="C357" s="29"/>
      <c r="D357" s="19"/>
      <c r="E357" s="22"/>
      <c r="F357" s="22"/>
      <c r="G357" s="22"/>
      <c r="H357" s="19"/>
      <c r="I357" s="19" t="s">
        <v>1407</v>
      </c>
      <c r="J357" s="22">
        <v>14.1</v>
      </c>
      <c r="K357" s="22">
        <v>1.3</v>
      </c>
      <c r="L357" s="75" t="s">
        <v>986</v>
      </c>
      <c r="M357" s="53" t="s">
        <v>986</v>
      </c>
      <c r="N357" s="22">
        <v>8.1</v>
      </c>
      <c r="O357" s="53" t="s">
        <v>986</v>
      </c>
      <c r="P357" s="19" t="s">
        <v>1297</v>
      </c>
      <c r="Q357" s="50"/>
    </row>
    <row r="358" spans="1:17" ht="15">
      <c r="A358" s="19"/>
      <c r="B358" s="29"/>
      <c r="C358" s="29"/>
      <c r="D358" s="19"/>
      <c r="E358" s="22"/>
      <c r="F358" s="22"/>
      <c r="G358" s="22"/>
      <c r="H358" s="19"/>
      <c r="I358" s="19" t="s">
        <v>1479</v>
      </c>
      <c r="J358" s="22">
        <v>6.7</v>
      </c>
      <c r="K358" s="22">
        <v>2</v>
      </c>
      <c r="L358" s="75">
        <f t="shared" ref="L358:L368" si="31">(N358/J358)*100</f>
        <v>19.402985074626866</v>
      </c>
      <c r="M358" s="53" t="s">
        <v>986</v>
      </c>
      <c r="N358" s="22">
        <v>1.3</v>
      </c>
      <c r="O358" s="53" t="s">
        <v>986</v>
      </c>
      <c r="P358" s="19" t="s">
        <v>1297</v>
      </c>
      <c r="Q358" s="50"/>
    </row>
    <row r="359" spans="1:17" ht="15">
      <c r="A359" s="19"/>
      <c r="B359" s="29"/>
      <c r="C359" s="29"/>
      <c r="D359" s="19"/>
      <c r="E359" s="22"/>
      <c r="F359" s="22"/>
      <c r="G359" s="22"/>
      <c r="H359" s="19"/>
      <c r="I359" s="19" t="s">
        <v>1577</v>
      </c>
      <c r="J359" s="22">
        <v>5.9</v>
      </c>
      <c r="K359" s="22">
        <v>1.2</v>
      </c>
      <c r="L359" s="75">
        <f t="shared" si="31"/>
        <v>27.118644067796609</v>
      </c>
      <c r="M359" s="53" t="s">
        <v>986</v>
      </c>
      <c r="N359" s="22">
        <v>1.6</v>
      </c>
      <c r="O359" s="53" t="s">
        <v>986</v>
      </c>
      <c r="P359" s="19" t="s">
        <v>1297</v>
      </c>
      <c r="Q359" s="50"/>
    </row>
    <row r="360" spans="1:17" ht="15">
      <c r="A360" s="19"/>
      <c r="B360" s="29"/>
      <c r="C360" s="29"/>
      <c r="D360" s="19"/>
      <c r="E360" s="22"/>
      <c r="F360" s="22"/>
      <c r="G360" s="22"/>
      <c r="H360" s="19"/>
      <c r="I360" s="19" t="s">
        <v>1578</v>
      </c>
      <c r="J360" s="22">
        <v>12.6</v>
      </c>
      <c r="K360" s="22">
        <v>2.2999999999999998</v>
      </c>
      <c r="L360" s="75">
        <f t="shared" si="31"/>
        <v>24.603174603174605</v>
      </c>
      <c r="M360" s="53" t="s">
        <v>986</v>
      </c>
      <c r="N360" s="22">
        <v>3.1</v>
      </c>
      <c r="O360" s="53" t="s">
        <v>986</v>
      </c>
      <c r="P360" s="19" t="s">
        <v>1297</v>
      </c>
      <c r="Q360" s="50"/>
    </row>
    <row r="361" spans="1:17" ht="15">
      <c r="A361" s="19"/>
      <c r="B361" s="29"/>
      <c r="C361" s="29"/>
      <c r="D361" s="19"/>
      <c r="E361" s="22"/>
      <c r="F361" s="22"/>
      <c r="G361" s="22"/>
      <c r="H361" s="19"/>
      <c r="I361" s="19" t="s">
        <v>1293</v>
      </c>
      <c r="J361" s="22">
        <v>57.4</v>
      </c>
      <c r="K361" s="22">
        <v>17</v>
      </c>
      <c r="L361" s="75">
        <f t="shared" si="31"/>
        <v>19.68641114982578</v>
      </c>
      <c r="M361" s="53" t="s">
        <v>986</v>
      </c>
      <c r="N361" s="22">
        <f>57.4-46.1</f>
        <v>11.299999999999997</v>
      </c>
      <c r="O361" s="53" t="s">
        <v>986</v>
      </c>
      <c r="P361" s="19" t="s">
        <v>1297</v>
      </c>
      <c r="Q361" s="50"/>
    </row>
    <row r="362" spans="1:17" ht="15">
      <c r="A362" s="19"/>
      <c r="B362" s="29"/>
      <c r="C362" s="29"/>
      <c r="D362" s="19"/>
      <c r="E362" s="22"/>
      <c r="F362" s="22"/>
      <c r="G362" s="22"/>
      <c r="H362" s="19"/>
      <c r="I362" s="19" t="s">
        <v>1294</v>
      </c>
      <c r="J362" s="22">
        <v>1</v>
      </c>
      <c r="K362" s="22">
        <v>0.7</v>
      </c>
      <c r="L362" s="75">
        <f t="shared" si="31"/>
        <v>100</v>
      </c>
      <c r="M362" s="53" t="s">
        <v>986</v>
      </c>
      <c r="N362" s="22">
        <v>1</v>
      </c>
      <c r="O362" s="53" t="s">
        <v>986</v>
      </c>
      <c r="P362" s="19" t="s">
        <v>1297</v>
      </c>
      <c r="Q362" s="50"/>
    </row>
    <row r="363" spans="1:17" ht="15">
      <c r="A363" s="19"/>
      <c r="B363" s="29"/>
      <c r="C363" s="29"/>
      <c r="D363" s="19"/>
      <c r="E363" s="22"/>
      <c r="F363" s="22"/>
      <c r="G363" s="22"/>
      <c r="H363" s="19"/>
      <c r="I363" s="19" t="s">
        <v>1183</v>
      </c>
      <c r="J363" s="22">
        <v>1.5</v>
      </c>
      <c r="K363" s="22">
        <v>1.3</v>
      </c>
      <c r="L363" s="75">
        <f t="shared" si="31"/>
        <v>100</v>
      </c>
      <c r="M363" s="53" t="s">
        <v>986</v>
      </c>
      <c r="N363" s="22">
        <v>1.5</v>
      </c>
      <c r="O363" s="53" t="s">
        <v>986</v>
      </c>
      <c r="P363" s="19" t="s">
        <v>1297</v>
      </c>
      <c r="Q363" s="50"/>
    </row>
    <row r="364" spans="1:17" ht="15">
      <c r="A364" s="19"/>
      <c r="B364" s="29"/>
      <c r="C364" s="29"/>
      <c r="D364" s="19"/>
      <c r="E364" s="22"/>
      <c r="F364" s="22"/>
      <c r="G364" s="22"/>
      <c r="H364" s="19"/>
      <c r="I364" s="19" t="s">
        <v>1184</v>
      </c>
      <c r="J364" s="22">
        <v>101.8</v>
      </c>
      <c r="K364" s="22">
        <v>17.7</v>
      </c>
      <c r="L364" s="75">
        <f t="shared" si="31"/>
        <v>38.506876227897834</v>
      </c>
      <c r="M364" s="53" t="s">
        <v>986</v>
      </c>
      <c r="N364" s="22">
        <f>101.8-62.6</f>
        <v>39.199999999999996</v>
      </c>
      <c r="O364" s="53" t="s">
        <v>986</v>
      </c>
      <c r="P364" s="19" t="s">
        <v>1297</v>
      </c>
      <c r="Q364" s="50"/>
    </row>
    <row r="365" spans="1:17" ht="15">
      <c r="A365" s="19"/>
      <c r="B365" s="29"/>
      <c r="C365" s="29"/>
      <c r="D365" s="19"/>
      <c r="E365" s="22"/>
      <c r="F365" s="22"/>
      <c r="G365" s="22"/>
      <c r="H365" s="19"/>
      <c r="I365" s="19" t="s">
        <v>1295</v>
      </c>
      <c r="J365" s="22">
        <v>120.3</v>
      </c>
      <c r="K365" s="22">
        <v>17.600000000000001</v>
      </c>
      <c r="L365" s="75">
        <f t="shared" si="31"/>
        <v>47.298420615128848</v>
      </c>
      <c r="M365" s="53" t="s">
        <v>986</v>
      </c>
      <c r="N365" s="22">
        <f>120.3-63.4</f>
        <v>56.9</v>
      </c>
      <c r="O365" s="53" t="s">
        <v>986</v>
      </c>
      <c r="P365" s="19" t="s">
        <v>1297</v>
      </c>
      <c r="Q365" s="50"/>
    </row>
    <row r="366" spans="1:17" ht="15">
      <c r="A366" s="19" t="s">
        <v>1197</v>
      </c>
      <c r="B366" s="29" t="s">
        <v>1376</v>
      </c>
      <c r="C366" s="29" t="s">
        <v>1256</v>
      </c>
      <c r="D366" s="19" t="s">
        <v>1342</v>
      </c>
      <c r="E366" s="22">
        <v>1993</v>
      </c>
      <c r="F366" s="22">
        <v>9</v>
      </c>
      <c r="G366" s="22">
        <v>18</v>
      </c>
      <c r="H366" s="19" t="s">
        <v>1363</v>
      </c>
      <c r="I366" s="19" t="s">
        <v>544</v>
      </c>
      <c r="J366" s="22">
        <v>10.6</v>
      </c>
      <c r="K366" s="22">
        <v>1.5</v>
      </c>
      <c r="L366" s="75">
        <f t="shared" si="31"/>
        <v>99.056603773584911</v>
      </c>
      <c r="M366" s="53" t="s">
        <v>986</v>
      </c>
      <c r="N366" s="22">
        <v>10.5</v>
      </c>
      <c r="O366" s="53" t="s">
        <v>986</v>
      </c>
      <c r="P366" s="19" t="s">
        <v>1297</v>
      </c>
      <c r="Q366" s="50"/>
    </row>
    <row r="367" spans="1:17" ht="15">
      <c r="A367" s="19"/>
      <c r="B367" s="29"/>
      <c r="C367" s="29"/>
      <c r="D367" s="19"/>
      <c r="E367" s="22"/>
      <c r="F367" s="22"/>
      <c r="G367" s="22"/>
      <c r="H367" s="19"/>
      <c r="I367" s="19" t="s">
        <v>1495</v>
      </c>
      <c r="J367" s="22">
        <v>2.1</v>
      </c>
      <c r="K367" s="22">
        <v>1</v>
      </c>
      <c r="L367" s="75">
        <f t="shared" si="31"/>
        <v>61.904761904761905</v>
      </c>
      <c r="M367" s="53" t="s">
        <v>986</v>
      </c>
      <c r="N367" s="22">
        <v>1.3</v>
      </c>
      <c r="O367" s="53" t="s">
        <v>986</v>
      </c>
      <c r="P367" s="19" t="s">
        <v>1297</v>
      </c>
      <c r="Q367" s="50"/>
    </row>
    <row r="368" spans="1:17" ht="15">
      <c r="A368" s="19"/>
      <c r="B368" s="29"/>
      <c r="C368" s="29"/>
      <c r="D368" s="19"/>
      <c r="E368" s="22"/>
      <c r="F368" s="22"/>
      <c r="G368" s="22"/>
      <c r="H368" s="19"/>
      <c r="I368" s="19" t="s">
        <v>1261</v>
      </c>
      <c r="J368" s="22">
        <v>1.8</v>
      </c>
      <c r="K368" s="22">
        <v>1.3</v>
      </c>
      <c r="L368" s="75">
        <f t="shared" si="31"/>
        <v>100</v>
      </c>
      <c r="M368" s="53" t="s">
        <v>986</v>
      </c>
      <c r="N368" s="22">
        <v>1.8</v>
      </c>
      <c r="O368" s="53" t="s">
        <v>986</v>
      </c>
      <c r="P368" s="19" t="s">
        <v>1297</v>
      </c>
      <c r="Q368" s="50"/>
    </row>
    <row r="369" spans="1:17" ht="15">
      <c r="A369" s="19"/>
      <c r="B369" s="29"/>
      <c r="C369" s="29"/>
      <c r="D369" s="19"/>
      <c r="E369" s="22"/>
      <c r="F369" s="22"/>
      <c r="G369" s="22"/>
      <c r="H369" s="19"/>
      <c r="I369" s="19" t="s">
        <v>1073</v>
      </c>
      <c r="J369" s="22">
        <v>2.5</v>
      </c>
      <c r="K369" s="22">
        <v>0.4</v>
      </c>
      <c r="L369" s="75" t="s">
        <v>986</v>
      </c>
      <c r="M369" s="53" t="s">
        <v>986</v>
      </c>
      <c r="N369" s="22">
        <v>2.5</v>
      </c>
      <c r="O369" s="53" t="s">
        <v>986</v>
      </c>
      <c r="P369" s="19" t="s">
        <v>1297</v>
      </c>
      <c r="Q369" s="50"/>
    </row>
    <row r="370" spans="1:17" ht="15">
      <c r="A370" s="19"/>
      <c r="B370" s="29"/>
      <c r="C370" s="29"/>
      <c r="D370" s="19"/>
      <c r="E370" s="22"/>
      <c r="F370" s="22"/>
      <c r="G370" s="22"/>
      <c r="H370" s="19"/>
      <c r="I370" s="19" t="s">
        <v>1406</v>
      </c>
      <c r="J370" s="22">
        <v>4.5</v>
      </c>
      <c r="K370" s="22">
        <v>0.7</v>
      </c>
      <c r="L370" s="75">
        <f t="shared" ref="L370:L377" si="32">(N370/J370)*100</f>
        <v>97.777777777777786</v>
      </c>
      <c r="M370" s="53" t="s">
        <v>986</v>
      </c>
      <c r="N370" s="22">
        <v>4.4000000000000004</v>
      </c>
      <c r="O370" s="53" t="s">
        <v>986</v>
      </c>
      <c r="P370" s="19" t="s">
        <v>1297</v>
      </c>
      <c r="Q370" s="50"/>
    </row>
    <row r="371" spans="1:17" ht="15">
      <c r="A371" s="19"/>
      <c r="B371" s="29"/>
      <c r="C371" s="29"/>
      <c r="D371" s="19"/>
      <c r="E371" s="22"/>
      <c r="F371" s="22"/>
      <c r="G371" s="22"/>
      <c r="H371" s="19"/>
      <c r="I371" s="19" t="s">
        <v>1461</v>
      </c>
      <c r="J371" s="22">
        <v>11.6</v>
      </c>
      <c r="K371" s="22">
        <v>1.2</v>
      </c>
      <c r="L371" s="75">
        <f t="shared" si="32"/>
        <v>93.103448275862078</v>
      </c>
      <c r="M371" s="53" t="s">
        <v>986</v>
      </c>
      <c r="N371" s="22">
        <v>10.8</v>
      </c>
      <c r="O371" s="53" t="s">
        <v>986</v>
      </c>
      <c r="P371" s="19" t="s">
        <v>1297</v>
      </c>
      <c r="Q371" s="50"/>
    </row>
    <row r="372" spans="1:17" ht="15">
      <c r="A372" s="19"/>
      <c r="B372" s="29"/>
      <c r="C372" s="29"/>
      <c r="D372" s="19"/>
      <c r="E372" s="22"/>
      <c r="F372" s="22"/>
      <c r="G372" s="22"/>
      <c r="H372" s="19"/>
      <c r="I372" s="19" t="s">
        <v>1407</v>
      </c>
      <c r="J372" s="22">
        <v>12.7</v>
      </c>
      <c r="K372" s="22">
        <v>1.6</v>
      </c>
      <c r="L372" s="75">
        <f t="shared" si="32"/>
        <v>66.141732283464577</v>
      </c>
      <c r="M372" s="53" t="s">
        <v>986</v>
      </c>
      <c r="N372" s="22">
        <v>8.4</v>
      </c>
      <c r="O372" s="53" t="s">
        <v>986</v>
      </c>
      <c r="P372" s="19" t="s">
        <v>1297</v>
      </c>
      <c r="Q372" s="50"/>
    </row>
    <row r="373" spans="1:17" ht="15">
      <c r="A373" s="19"/>
      <c r="B373" s="29"/>
      <c r="C373" s="29"/>
      <c r="D373" s="19"/>
      <c r="E373" s="22"/>
      <c r="F373" s="22"/>
      <c r="G373" s="22"/>
      <c r="H373" s="19"/>
      <c r="I373" s="19" t="s">
        <v>1479</v>
      </c>
      <c r="J373" s="22">
        <v>3.6</v>
      </c>
      <c r="K373" s="22">
        <v>1.5</v>
      </c>
      <c r="L373" s="75">
        <f t="shared" si="32"/>
        <v>2.7777777777777781</v>
      </c>
      <c r="M373" s="53" t="s">
        <v>986</v>
      </c>
      <c r="N373" s="22">
        <v>0.1</v>
      </c>
      <c r="O373" s="53" t="s">
        <v>986</v>
      </c>
      <c r="P373" s="19" t="s">
        <v>1297</v>
      </c>
      <c r="Q373" s="50"/>
    </row>
    <row r="374" spans="1:17" ht="15">
      <c r="A374" s="19"/>
      <c r="B374" s="29"/>
      <c r="C374" s="29"/>
      <c r="D374" s="19"/>
      <c r="E374" s="22"/>
      <c r="F374" s="22"/>
      <c r="G374" s="22"/>
      <c r="H374" s="19"/>
      <c r="I374" s="19" t="s">
        <v>1577</v>
      </c>
      <c r="J374" s="22">
        <v>5.7</v>
      </c>
      <c r="K374" s="22">
        <v>2</v>
      </c>
      <c r="L374" s="75">
        <f t="shared" si="32"/>
        <v>3.5087719298245612</v>
      </c>
      <c r="M374" s="53" t="s">
        <v>986</v>
      </c>
      <c r="N374" s="22">
        <v>0.2</v>
      </c>
      <c r="O374" s="53" t="s">
        <v>986</v>
      </c>
      <c r="P374" s="19" t="s">
        <v>1297</v>
      </c>
      <c r="Q374" s="50"/>
    </row>
    <row r="375" spans="1:17" ht="15">
      <c r="A375" s="19"/>
      <c r="B375" s="29"/>
      <c r="C375" s="29"/>
      <c r="D375" s="19"/>
      <c r="E375" s="22"/>
      <c r="F375" s="22"/>
      <c r="G375" s="22"/>
      <c r="H375" s="19"/>
      <c r="I375" s="19" t="s">
        <v>1578</v>
      </c>
      <c r="J375" s="22">
        <v>9.3000000000000007</v>
      </c>
      <c r="K375" s="22">
        <v>2.5</v>
      </c>
      <c r="L375" s="75">
        <f t="shared" si="32"/>
        <v>3.225806451612903</v>
      </c>
      <c r="M375" s="53" t="s">
        <v>986</v>
      </c>
      <c r="N375" s="22">
        <v>0.3</v>
      </c>
      <c r="O375" s="53" t="s">
        <v>986</v>
      </c>
      <c r="P375" s="19" t="s">
        <v>1297</v>
      </c>
      <c r="Q375" s="50"/>
    </row>
    <row r="376" spans="1:17" ht="15">
      <c r="A376" s="19"/>
      <c r="B376" s="29"/>
      <c r="C376" s="29"/>
      <c r="D376" s="19"/>
      <c r="E376" s="22"/>
      <c r="F376" s="22"/>
      <c r="G376" s="22"/>
      <c r="H376" s="19"/>
      <c r="I376" s="19" t="s">
        <v>1293</v>
      </c>
      <c r="J376" s="22">
        <v>11.6</v>
      </c>
      <c r="K376" s="22">
        <v>6.9</v>
      </c>
      <c r="L376" s="75">
        <f t="shared" si="32"/>
        <v>17.241379310344829</v>
      </c>
      <c r="M376" s="53" t="s">
        <v>986</v>
      </c>
      <c r="N376" s="22">
        <v>2</v>
      </c>
      <c r="O376" s="53" t="s">
        <v>986</v>
      </c>
      <c r="P376" s="19" t="s">
        <v>1297</v>
      </c>
      <c r="Q376" s="50"/>
    </row>
    <row r="377" spans="1:17" ht="15">
      <c r="A377" s="19"/>
      <c r="B377" s="29"/>
      <c r="C377" s="29"/>
      <c r="D377" s="19"/>
      <c r="E377" s="22"/>
      <c r="F377" s="22"/>
      <c r="G377" s="22"/>
      <c r="H377" s="19"/>
      <c r="I377" s="19" t="s">
        <v>1294</v>
      </c>
      <c r="J377" s="22">
        <v>1</v>
      </c>
      <c r="K377" s="22">
        <v>0.7</v>
      </c>
      <c r="L377" s="75">
        <f t="shared" si="32"/>
        <v>100</v>
      </c>
      <c r="M377" s="53" t="s">
        <v>986</v>
      </c>
      <c r="N377" s="22">
        <v>1</v>
      </c>
      <c r="O377" s="53" t="s">
        <v>986</v>
      </c>
      <c r="P377" s="19" t="s">
        <v>1297</v>
      </c>
      <c r="Q377" s="50"/>
    </row>
    <row r="378" spans="1:17" ht="15">
      <c r="A378" s="19"/>
      <c r="B378" s="29"/>
      <c r="C378" s="29"/>
      <c r="D378" s="19"/>
      <c r="E378" s="22"/>
      <c r="F378" s="22"/>
      <c r="G378" s="22"/>
      <c r="H378" s="19"/>
      <c r="I378" s="19" t="s">
        <v>1183</v>
      </c>
      <c r="J378" s="22" t="s">
        <v>986</v>
      </c>
      <c r="K378" s="22" t="s">
        <v>986</v>
      </c>
      <c r="L378" s="75" t="s">
        <v>986</v>
      </c>
      <c r="M378" s="53" t="s">
        <v>986</v>
      </c>
      <c r="N378" s="22" t="s">
        <v>986</v>
      </c>
      <c r="O378" s="53" t="s">
        <v>986</v>
      </c>
      <c r="P378" s="19" t="s">
        <v>1297</v>
      </c>
      <c r="Q378" s="50"/>
    </row>
    <row r="379" spans="1:17" ht="15">
      <c r="A379" s="19"/>
      <c r="B379" s="29"/>
      <c r="C379" s="29"/>
      <c r="D379" s="19"/>
      <c r="E379" s="22"/>
      <c r="F379" s="22"/>
      <c r="G379" s="22"/>
      <c r="H379" s="19"/>
      <c r="I379" s="19" t="s">
        <v>1184</v>
      </c>
      <c r="J379" s="22">
        <v>53.9</v>
      </c>
      <c r="K379" s="22">
        <v>9.1999999999999993</v>
      </c>
      <c r="L379" s="75">
        <f>(N379/J379)*100</f>
        <v>53.061224489795912</v>
      </c>
      <c r="M379" s="53" t="s">
        <v>986</v>
      </c>
      <c r="N379" s="22">
        <f>53.9-25.3</f>
        <v>28.599999999999998</v>
      </c>
      <c r="O379" s="53" t="s">
        <v>986</v>
      </c>
      <c r="P379" s="19" t="s">
        <v>1297</v>
      </c>
      <c r="Q379" s="50"/>
    </row>
    <row r="380" spans="1:17" ht="16" thickBot="1">
      <c r="A380" s="19"/>
      <c r="B380" s="29"/>
      <c r="C380" s="29"/>
      <c r="D380" s="19"/>
      <c r="E380" s="22"/>
      <c r="F380" s="22"/>
      <c r="G380" s="22"/>
      <c r="H380" s="19"/>
      <c r="I380" s="38" t="s">
        <v>1295</v>
      </c>
      <c r="J380" s="45">
        <v>70.900000000000006</v>
      </c>
      <c r="K380" s="45">
        <v>10.4</v>
      </c>
      <c r="L380" s="93">
        <f>(N380/J380)*100</f>
        <v>63.187588152327223</v>
      </c>
      <c r="M380" s="81" t="s">
        <v>986</v>
      </c>
      <c r="N380" s="45">
        <f>70.9-26.1</f>
        <v>44.800000000000004</v>
      </c>
      <c r="O380" s="81" t="s">
        <v>986</v>
      </c>
      <c r="P380" s="19" t="s">
        <v>1297</v>
      </c>
      <c r="Q380" s="50"/>
    </row>
    <row r="381" spans="1:17" ht="15">
      <c r="A381" s="3"/>
      <c r="B381" s="5"/>
      <c r="C381" s="5"/>
      <c r="D381" s="3"/>
      <c r="E381" s="74"/>
      <c r="F381" s="74"/>
      <c r="G381" s="74"/>
      <c r="H381" s="3"/>
      <c r="I381" s="47" t="s">
        <v>544</v>
      </c>
      <c r="J381" s="51">
        <f t="shared" ref="J381:J395" si="33">ROUND(AVERAGE(J321,J336,J351,J366),1)</f>
        <v>12.2</v>
      </c>
      <c r="K381" s="51">
        <f t="shared" ref="K381:K392" si="34">ROUND(STDEV(J321,J336,J351,J366),1)</f>
        <v>1.6</v>
      </c>
      <c r="L381" s="51">
        <f t="shared" ref="L381:L395" si="35">ROUND(AVERAGE(L321,L336,L351,L366),1)</f>
        <v>93.5</v>
      </c>
      <c r="M381" s="51">
        <f t="shared" ref="M381:M392" si="36">ROUND(STDEV(L321,L336,L351,L366),1)</f>
        <v>11.3</v>
      </c>
      <c r="N381" s="51">
        <f t="shared" ref="N381:N395" si="37">ROUND(AVERAGE(N321,N336,N351,N366),1)</f>
        <v>11.5</v>
      </c>
      <c r="O381" s="52">
        <f t="shared" ref="O381:O392" si="38">ROUND(STDEV(N321,N336,N351,N366),1)</f>
        <v>2.4</v>
      </c>
      <c r="P381" s="3"/>
      <c r="Q381" s="50"/>
    </row>
    <row r="382" spans="1:17" ht="15">
      <c r="I382" s="48" t="s">
        <v>1495</v>
      </c>
      <c r="J382" s="53">
        <f t="shared" si="33"/>
        <v>2.5</v>
      </c>
      <c r="K382" s="53">
        <f t="shared" si="34"/>
        <v>0.5</v>
      </c>
      <c r="L382" s="53">
        <f t="shared" si="35"/>
        <v>74.2</v>
      </c>
      <c r="M382" s="53">
        <f t="shared" si="36"/>
        <v>12.4</v>
      </c>
      <c r="N382" s="53">
        <f t="shared" si="37"/>
        <v>1.9</v>
      </c>
      <c r="O382" s="54">
        <f t="shared" si="38"/>
        <v>0.7</v>
      </c>
    </row>
    <row r="383" spans="1:17" ht="15">
      <c r="I383" s="48" t="s">
        <v>1374</v>
      </c>
      <c r="J383" s="53">
        <f t="shared" si="33"/>
        <v>0.6</v>
      </c>
      <c r="K383" s="53">
        <f t="shared" si="34"/>
        <v>0.8</v>
      </c>
      <c r="L383" s="53">
        <f t="shared" si="35"/>
        <v>37.5</v>
      </c>
      <c r="M383" s="53">
        <f t="shared" si="36"/>
        <v>47.9</v>
      </c>
      <c r="N383" s="53">
        <f t="shared" si="37"/>
        <v>0.5</v>
      </c>
      <c r="O383" s="54">
        <f t="shared" si="38"/>
        <v>0.9</v>
      </c>
    </row>
    <row r="384" spans="1:17" ht="15">
      <c r="I384" s="48" t="s">
        <v>1462</v>
      </c>
      <c r="J384" s="53">
        <f t="shared" si="33"/>
        <v>2.2000000000000002</v>
      </c>
      <c r="K384" s="53">
        <f t="shared" si="34"/>
        <v>0.3</v>
      </c>
      <c r="L384" s="53">
        <f t="shared" si="35"/>
        <v>96.5</v>
      </c>
      <c r="M384" s="53">
        <f t="shared" si="36"/>
        <v>3.1</v>
      </c>
      <c r="N384" s="53">
        <f t="shared" si="37"/>
        <v>2.1</v>
      </c>
      <c r="O384" s="54">
        <f t="shared" si="38"/>
        <v>0.4</v>
      </c>
    </row>
    <row r="385" spans="1:17" ht="15">
      <c r="I385" s="48" t="s">
        <v>1298</v>
      </c>
      <c r="J385" s="53">
        <f t="shared" si="33"/>
        <v>3.8</v>
      </c>
      <c r="K385" s="53">
        <f t="shared" si="34"/>
        <v>0.6</v>
      </c>
      <c r="L385" s="53">
        <f t="shared" si="35"/>
        <v>97.3</v>
      </c>
      <c r="M385" s="53">
        <f t="shared" si="36"/>
        <v>2.1</v>
      </c>
      <c r="N385" s="53">
        <f t="shared" si="37"/>
        <v>3.7</v>
      </c>
      <c r="O385" s="54">
        <f t="shared" si="38"/>
        <v>0.6</v>
      </c>
    </row>
    <row r="386" spans="1:17" ht="15">
      <c r="I386" s="48" t="s">
        <v>1461</v>
      </c>
      <c r="J386" s="53">
        <f t="shared" si="33"/>
        <v>11.9</v>
      </c>
      <c r="K386" s="53">
        <f t="shared" si="34"/>
        <v>1.4</v>
      </c>
      <c r="L386" s="53">
        <f t="shared" si="35"/>
        <v>88.7</v>
      </c>
      <c r="M386" s="53">
        <f t="shared" si="36"/>
        <v>5.3</v>
      </c>
      <c r="N386" s="53">
        <f t="shared" si="37"/>
        <v>10.5</v>
      </c>
      <c r="O386" s="54">
        <f t="shared" si="38"/>
        <v>0.9</v>
      </c>
    </row>
    <row r="387" spans="1:17" ht="15">
      <c r="I387" s="48" t="s">
        <v>1299</v>
      </c>
      <c r="J387" s="53">
        <f t="shared" si="33"/>
        <v>14.5</v>
      </c>
      <c r="K387" s="53">
        <f t="shared" si="34"/>
        <v>2.7</v>
      </c>
      <c r="L387" s="53">
        <f t="shared" si="35"/>
        <v>72.599999999999994</v>
      </c>
      <c r="M387" s="53">
        <f t="shared" si="36"/>
        <v>5.6</v>
      </c>
      <c r="N387" s="53">
        <f t="shared" si="37"/>
        <v>10</v>
      </c>
      <c r="O387" s="54">
        <f t="shared" si="38"/>
        <v>2.7</v>
      </c>
    </row>
    <row r="388" spans="1:17" ht="15">
      <c r="I388" s="48" t="s">
        <v>1553</v>
      </c>
      <c r="J388" s="53">
        <f t="shared" si="33"/>
        <v>12.1</v>
      </c>
      <c r="K388" s="53">
        <f t="shared" si="34"/>
        <v>13.6</v>
      </c>
      <c r="L388" s="53">
        <f t="shared" si="35"/>
        <v>23.6</v>
      </c>
      <c r="M388" s="53">
        <f t="shared" si="36"/>
        <v>19.2</v>
      </c>
      <c r="N388" s="53">
        <f t="shared" si="37"/>
        <v>4.7</v>
      </c>
      <c r="O388" s="54">
        <f t="shared" si="38"/>
        <v>7.6</v>
      </c>
    </row>
    <row r="389" spans="1:17" ht="15">
      <c r="I389" s="48" t="s">
        <v>1279</v>
      </c>
      <c r="J389" s="53">
        <f t="shared" si="33"/>
        <v>8.6</v>
      </c>
      <c r="K389" s="53">
        <f t="shared" si="34"/>
        <v>3.2</v>
      </c>
      <c r="L389" s="53">
        <f t="shared" si="35"/>
        <v>31</v>
      </c>
      <c r="M389" s="53">
        <f t="shared" si="36"/>
        <v>20.6</v>
      </c>
      <c r="N389" s="53">
        <f t="shared" si="37"/>
        <v>3.1</v>
      </c>
      <c r="O389" s="54">
        <f t="shared" si="38"/>
        <v>2.6</v>
      </c>
    </row>
    <row r="390" spans="1:17" ht="15">
      <c r="I390" s="48" t="s">
        <v>1280</v>
      </c>
      <c r="J390" s="53">
        <f t="shared" si="33"/>
        <v>20.7</v>
      </c>
      <c r="K390" s="53">
        <f t="shared" si="34"/>
        <v>15.6</v>
      </c>
      <c r="L390" s="53">
        <f t="shared" si="35"/>
        <v>25.3</v>
      </c>
      <c r="M390" s="53">
        <f t="shared" si="36"/>
        <v>22.4</v>
      </c>
      <c r="N390" s="53">
        <f t="shared" si="37"/>
        <v>7.9</v>
      </c>
      <c r="O390" s="54">
        <f t="shared" si="38"/>
        <v>9.1</v>
      </c>
    </row>
    <row r="391" spans="1:17" ht="15">
      <c r="I391" s="48" t="s">
        <v>1281</v>
      </c>
      <c r="J391" s="53">
        <f t="shared" si="33"/>
        <v>36</v>
      </c>
      <c r="K391" s="53">
        <f t="shared" si="34"/>
        <v>31.4</v>
      </c>
      <c r="L391" s="53">
        <f t="shared" si="35"/>
        <v>36.799999999999997</v>
      </c>
      <c r="M391" s="53">
        <f t="shared" si="36"/>
        <v>28.7</v>
      </c>
      <c r="N391" s="53">
        <f t="shared" si="37"/>
        <v>10</v>
      </c>
      <c r="O391" s="54">
        <f t="shared" si="38"/>
        <v>8.6</v>
      </c>
    </row>
    <row r="392" spans="1:17" ht="15">
      <c r="I392" s="48" t="s">
        <v>1351</v>
      </c>
      <c r="J392" s="53">
        <f t="shared" si="33"/>
        <v>7.3</v>
      </c>
      <c r="K392" s="53">
        <f t="shared" si="34"/>
        <v>10.6</v>
      </c>
      <c r="L392" s="53">
        <f t="shared" si="35"/>
        <v>77.5</v>
      </c>
      <c r="M392" s="53">
        <f t="shared" si="36"/>
        <v>28.8</v>
      </c>
      <c r="N392" s="53">
        <f t="shared" si="37"/>
        <v>3.5</v>
      </c>
      <c r="O392" s="54">
        <f t="shared" si="38"/>
        <v>3.9</v>
      </c>
    </row>
    <row r="393" spans="1:17" ht="15">
      <c r="I393" s="48" t="s">
        <v>1352</v>
      </c>
      <c r="J393" s="53">
        <f t="shared" si="33"/>
        <v>1.5</v>
      </c>
      <c r="K393" s="53" t="s">
        <v>1290</v>
      </c>
      <c r="L393" s="53">
        <f t="shared" si="35"/>
        <v>100</v>
      </c>
      <c r="M393" s="53" t="s">
        <v>1398</v>
      </c>
      <c r="N393" s="53">
        <f t="shared" si="37"/>
        <v>1.5</v>
      </c>
      <c r="O393" s="54" t="s">
        <v>1398</v>
      </c>
    </row>
    <row r="394" spans="1:17" ht="15">
      <c r="I394" s="48" t="s">
        <v>1184</v>
      </c>
      <c r="J394" s="53">
        <f t="shared" si="33"/>
        <v>101.4</v>
      </c>
      <c r="K394" s="53">
        <f>ROUND(STDEV(J334,J349,J364,J379),1)</f>
        <v>44.7</v>
      </c>
      <c r="L394" s="53">
        <f t="shared" si="35"/>
        <v>49.5</v>
      </c>
      <c r="M394" s="53">
        <f>ROUND(STDEV(L334,L349,L364,L379),1)</f>
        <v>7.8</v>
      </c>
      <c r="N394" s="53">
        <f t="shared" si="37"/>
        <v>49.5</v>
      </c>
      <c r="O394" s="54">
        <f>ROUND(STDEV(N334,N349,N364,N379),1)</f>
        <v>22.3</v>
      </c>
    </row>
    <row r="395" spans="1:17" ht="16" thickBot="1">
      <c r="I395" s="49" t="s">
        <v>1295</v>
      </c>
      <c r="J395" s="55">
        <f t="shared" si="33"/>
        <v>118.1</v>
      </c>
      <c r="K395" s="55">
        <f>ROUND(STDEV(J335,J350,J365,J380),1)</f>
        <v>44.6</v>
      </c>
      <c r="L395" s="55">
        <f t="shared" si="35"/>
        <v>56.4</v>
      </c>
      <c r="M395" s="55">
        <f>ROUND(STDEV(L335,L350,L365,L380),1)</f>
        <v>7.7</v>
      </c>
      <c r="N395" s="55">
        <f t="shared" si="37"/>
        <v>65</v>
      </c>
      <c r="O395" s="56">
        <f>ROUND(STDEV(N335,N350,N365,N380),1)</f>
        <v>20.7</v>
      </c>
    </row>
    <row r="397" spans="1:17">
      <c r="A397" s="296"/>
      <c r="B397" s="296"/>
      <c r="C397" s="296"/>
      <c r="D397" s="296"/>
      <c r="E397" s="301"/>
      <c r="F397" s="301"/>
      <c r="G397" s="301"/>
      <c r="H397" s="296"/>
      <c r="I397" s="300"/>
      <c r="J397" s="301"/>
      <c r="K397" s="301"/>
      <c r="L397" s="301"/>
      <c r="M397" s="301"/>
      <c r="N397" s="301"/>
      <c r="O397" s="301"/>
      <c r="P397" s="296"/>
    </row>
    <row r="398" spans="1:17" ht="14" thickBot="1"/>
    <row r="399" spans="1:17" ht="15">
      <c r="A399" s="19" t="s">
        <v>1197</v>
      </c>
      <c r="B399" s="29" t="s">
        <v>1244</v>
      </c>
      <c r="C399" s="29" t="s">
        <v>1245</v>
      </c>
      <c r="D399" s="19" t="s">
        <v>1296</v>
      </c>
      <c r="E399" s="22">
        <v>1991</v>
      </c>
      <c r="F399" s="22">
        <v>9</v>
      </c>
      <c r="G399" s="22">
        <v>21</v>
      </c>
      <c r="H399" s="27" t="s">
        <v>1363</v>
      </c>
      <c r="I399" s="47" t="s">
        <v>544</v>
      </c>
      <c r="J399" s="51">
        <v>14.1</v>
      </c>
      <c r="K399" s="51">
        <v>1.1000000000000001</v>
      </c>
      <c r="L399" s="51">
        <f>ROUND((N399/J399)*100,1)</f>
        <v>100</v>
      </c>
      <c r="M399" s="51" t="s">
        <v>986</v>
      </c>
      <c r="N399" s="51">
        <v>14.1</v>
      </c>
      <c r="O399" s="52" t="s">
        <v>986</v>
      </c>
      <c r="P399" s="30" t="s">
        <v>1297</v>
      </c>
      <c r="Q399" s="50"/>
    </row>
    <row r="400" spans="1:17" ht="15">
      <c r="A400" s="19"/>
      <c r="B400" s="29"/>
      <c r="C400" s="29"/>
      <c r="D400" s="19"/>
      <c r="E400" s="22"/>
      <c r="F400" s="22"/>
      <c r="G400" s="22"/>
      <c r="H400" s="27"/>
      <c r="I400" s="48" t="s">
        <v>1495</v>
      </c>
      <c r="J400" s="53" t="s">
        <v>986</v>
      </c>
      <c r="K400" s="53" t="s">
        <v>986</v>
      </c>
      <c r="L400" s="53" t="s">
        <v>1398</v>
      </c>
      <c r="M400" s="53" t="s">
        <v>986</v>
      </c>
      <c r="N400" s="53" t="s">
        <v>986</v>
      </c>
      <c r="O400" s="54" t="s">
        <v>986</v>
      </c>
      <c r="P400" s="30" t="s">
        <v>1297</v>
      </c>
      <c r="Q400" s="50"/>
    </row>
    <row r="401" spans="1:17" ht="15">
      <c r="A401" s="19"/>
      <c r="B401" s="29"/>
      <c r="C401" s="29"/>
      <c r="D401" s="19"/>
      <c r="E401" s="22"/>
      <c r="F401" s="22"/>
      <c r="G401" s="22"/>
      <c r="H401" s="27"/>
      <c r="I401" s="48" t="s">
        <v>1261</v>
      </c>
      <c r="J401" s="53" t="s">
        <v>986</v>
      </c>
      <c r="K401" s="53" t="s">
        <v>986</v>
      </c>
      <c r="L401" s="53" t="s">
        <v>1718</v>
      </c>
      <c r="M401" s="53" t="s">
        <v>986</v>
      </c>
      <c r="N401" s="53" t="s">
        <v>986</v>
      </c>
      <c r="O401" s="54" t="s">
        <v>986</v>
      </c>
      <c r="P401" s="30" t="s">
        <v>1297</v>
      </c>
      <c r="Q401" s="50"/>
    </row>
    <row r="402" spans="1:17" ht="15">
      <c r="A402" s="19"/>
      <c r="B402" s="29"/>
      <c r="C402" s="29"/>
      <c r="D402" s="19"/>
      <c r="E402" s="22"/>
      <c r="F402" s="22"/>
      <c r="G402" s="22"/>
      <c r="H402" s="27"/>
      <c r="I402" s="48" t="s">
        <v>1073</v>
      </c>
      <c r="J402" s="53">
        <v>4.5</v>
      </c>
      <c r="K402" s="53">
        <v>0.5</v>
      </c>
      <c r="L402" s="53">
        <f>ROUND((N402/J402)*100,1)</f>
        <v>100</v>
      </c>
      <c r="M402" s="53" t="s">
        <v>986</v>
      </c>
      <c r="N402" s="53">
        <v>4.5</v>
      </c>
      <c r="O402" s="54" t="s">
        <v>986</v>
      </c>
      <c r="P402" s="30" t="s">
        <v>1297</v>
      </c>
      <c r="Q402" s="50"/>
    </row>
    <row r="403" spans="1:17" ht="15">
      <c r="A403" s="19"/>
      <c r="B403" s="29"/>
      <c r="C403" s="29"/>
      <c r="D403" s="19"/>
      <c r="E403" s="22"/>
      <c r="F403" s="22"/>
      <c r="G403" s="22"/>
      <c r="H403" s="27"/>
      <c r="I403" s="48" t="s">
        <v>1406</v>
      </c>
      <c r="J403" s="53">
        <v>4.2</v>
      </c>
      <c r="K403" s="53">
        <v>0.5</v>
      </c>
      <c r="L403" s="53">
        <f>ROUND((N403/J403)*100,1)</f>
        <v>100</v>
      </c>
      <c r="M403" s="53" t="s">
        <v>986</v>
      </c>
      <c r="N403" s="53">
        <v>4.2</v>
      </c>
      <c r="O403" s="54" t="s">
        <v>986</v>
      </c>
      <c r="P403" s="30" t="s">
        <v>1297</v>
      </c>
      <c r="Q403" s="50"/>
    </row>
    <row r="404" spans="1:17" ht="15">
      <c r="A404" s="19"/>
      <c r="B404" s="29"/>
      <c r="C404" s="29"/>
      <c r="D404" s="19"/>
      <c r="E404" s="22"/>
      <c r="F404" s="22"/>
      <c r="G404" s="22"/>
      <c r="H404" s="27"/>
      <c r="I404" s="48" t="s">
        <v>1500</v>
      </c>
      <c r="J404" s="53">
        <v>14.1</v>
      </c>
      <c r="K404" s="53">
        <v>1.1000000000000001</v>
      </c>
      <c r="L404" s="53">
        <f>ROUND((N404/J404)*100,1)</f>
        <v>93.6</v>
      </c>
      <c r="M404" s="53" t="s">
        <v>986</v>
      </c>
      <c r="N404" s="53">
        <v>13.2</v>
      </c>
      <c r="O404" s="54" t="s">
        <v>986</v>
      </c>
      <c r="P404" s="30" t="s">
        <v>1297</v>
      </c>
      <c r="Q404" s="50"/>
    </row>
    <row r="405" spans="1:17" ht="15">
      <c r="A405" s="19"/>
      <c r="B405" s="29"/>
      <c r="C405" s="29"/>
      <c r="D405" s="19"/>
      <c r="E405" s="22"/>
      <c r="F405" s="22"/>
      <c r="G405" s="22"/>
      <c r="H405" s="27"/>
      <c r="I405" s="48" t="s">
        <v>1407</v>
      </c>
      <c r="J405" s="53">
        <v>9.8000000000000007</v>
      </c>
      <c r="K405" s="53">
        <v>0.8</v>
      </c>
      <c r="L405" s="53">
        <f>ROUND((N405/J405)*100,1)</f>
        <v>78.599999999999994</v>
      </c>
      <c r="M405" s="53" t="s">
        <v>986</v>
      </c>
      <c r="N405" s="53">
        <v>7.7</v>
      </c>
      <c r="O405" s="54" t="s">
        <v>986</v>
      </c>
      <c r="P405" s="30" t="s">
        <v>1297</v>
      </c>
      <c r="Q405" s="50"/>
    </row>
    <row r="406" spans="1:17" ht="15">
      <c r="A406" s="19"/>
      <c r="B406" s="29"/>
      <c r="C406" s="29"/>
      <c r="D406" s="19"/>
      <c r="E406" s="22"/>
      <c r="F406" s="22"/>
      <c r="G406" s="22"/>
      <c r="H406" s="27"/>
      <c r="I406" s="48" t="s">
        <v>1479</v>
      </c>
      <c r="J406" s="53" t="s">
        <v>986</v>
      </c>
      <c r="K406" s="53" t="s">
        <v>986</v>
      </c>
      <c r="L406" s="53" t="s">
        <v>1398</v>
      </c>
      <c r="M406" s="53" t="s">
        <v>986</v>
      </c>
      <c r="N406" s="53" t="s">
        <v>986</v>
      </c>
      <c r="O406" s="54" t="s">
        <v>986</v>
      </c>
      <c r="P406" s="30" t="s">
        <v>1297</v>
      </c>
      <c r="Q406" s="50"/>
    </row>
    <row r="407" spans="1:17" ht="15">
      <c r="A407" s="19"/>
      <c r="B407" s="29"/>
      <c r="C407" s="29"/>
      <c r="D407" s="19"/>
      <c r="E407" s="22"/>
      <c r="F407" s="22"/>
      <c r="G407" s="22"/>
      <c r="H407" s="27"/>
      <c r="I407" s="48" t="s">
        <v>1577</v>
      </c>
      <c r="J407" s="53" t="s">
        <v>986</v>
      </c>
      <c r="K407" s="53" t="s">
        <v>986</v>
      </c>
      <c r="L407" s="53" t="s">
        <v>1718</v>
      </c>
      <c r="M407" s="53" t="s">
        <v>986</v>
      </c>
      <c r="N407" s="53" t="s">
        <v>986</v>
      </c>
      <c r="O407" s="54" t="s">
        <v>986</v>
      </c>
      <c r="P407" s="30" t="s">
        <v>1297</v>
      </c>
      <c r="Q407" s="50"/>
    </row>
    <row r="408" spans="1:17" ht="15">
      <c r="A408" s="19"/>
      <c r="B408" s="29"/>
      <c r="C408" s="29"/>
      <c r="D408" s="19"/>
      <c r="E408" s="22"/>
      <c r="F408" s="22"/>
      <c r="G408" s="22"/>
      <c r="H408" s="27"/>
      <c r="I408" s="48" t="s">
        <v>1578</v>
      </c>
      <c r="J408" s="53">
        <v>8.3000000000000007</v>
      </c>
      <c r="K408" s="53">
        <v>1.3</v>
      </c>
      <c r="L408" s="53">
        <f>ROUND((N408/J408)*100,1)</f>
        <v>68.7</v>
      </c>
      <c r="M408" s="53" t="s">
        <v>986</v>
      </c>
      <c r="N408" s="53">
        <v>5.7</v>
      </c>
      <c r="O408" s="54" t="s">
        <v>986</v>
      </c>
      <c r="P408" s="30" t="s">
        <v>1297</v>
      </c>
      <c r="Q408" s="50"/>
    </row>
    <row r="409" spans="1:17" ht="15">
      <c r="A409" s="19"/>
      <c r="B409" s="29"/>
      <c r="C409" s="29"/>
      <c r="D409" s="19"/>
      <c r="E409" s="22"/>
      <c r="F409" s="22"/>
      <c r="G409" s="22"/>
      <c r="H409" s="27"/>
      <c r="I409" s="48" t="s">
        <v>1293</v>
      </c>
      <c r="J409" s="53">
        <v>3.5</v>
      </c>
      <c r="K409" s="53">
        <v>2</v>
      </c>
      <c r="L409" s="53">
        <f>ROUND((N409/J409)*100,1)</f>
        <v>77.099999999999994</v>
      </c>
      <c r="M409" s="53" t="s">
        <v>986</v>
      </c>
      <c r="N409" s="53">
        <v>2.7</v>
      </c>
      <c r="O409" s="54" t="s">
        <v>986</v>
      </c>
      <c r="P409" s="30" t="s">
        <v>1297</v>
      </c>
      <c r="Q409" s="50"/>
    </row>
    <row r="410" spans="1:17" ht="15">
      <c r="A410" s="19"/>
      <c r="B410" s="29"/>
      <c r="C410" s="29"/>
      <c r="D410" s="19"/>
      <c r="E410" s="22"/>
      <c r="F410" s="22"/>
      <c r="G410" s="22"/>
      <c r="H410" s="27"/>
      <c r="I410" s="48" t="s">
        <v>1294</v>
      </c>
      <c r="J410" s="53">
        <v>4.9000000000000004</v>
      </c>
      <c r="K410" s="53">
        <v>3.3</v>
      </c>
      <c r="L410" s="53">
        <f>ROUND((N410/J410)*100,1)</f>
        <v>67.3</v>
      </c>
      <c r="M410" s="53" t="s">
        <v>986</v>
      </c>
      <c r="N410" s="53">
        <v>3.3</v>
      </c>
      <c r="O410" s="54" t="s">
        <v>986</v>
      </c>
      <c r="P410" s="30" t="s">
        <v>1297</v>
      </c>
      <c r="Q410" s="50"/>
    </row>
    <row r="411" spans="1:17" ht="15">
      <c r="A411" s="19"/>
      <c r="B411" s="29"/>
      <c r="C411" s="29"/>
      <c r="D411" s="19"/>
      <c r="E411" s="22"/>
      <c r="F411" s="22"/>
      <c r="G411" s="22"/>
      <c r="H411" s="27"/>
      <c r="I411" s="48" t="s">
        <v>1183</v>
      </c>
      <c r="J411" s="53" t="s">
        <v>986</v>
      </c>
      <c r="K411" s="53" t="s">
        <v>986</v>
      </c>
      <c r="L411" s="53" t="s">
        <v>1398</v>
      </c>
      <c r="M411" s="53" t="s">
        <v>986</v>
      </c>
      <c r="N411" s="53" t="s">
        <v>986</v>
      </c>
      <c r="O411" s="54" t="s">
        <v>986</v>
      </c>
      <c r="P411" s="30" t="s">
        <v>1297</v>
      </c>
      <c r="Q411" s="50"/>
    </row>
    <row r="412" spans="1:17" ht="15">
      <c r="A412" s="19"/>
      <c r="B412" s="29"/>
      <c r="C412" s="29"/>
      <c r="D412" s="19"/>
      <c r="E412" s="22"/>
      <c r="F412" s="22"/>
      <c r="G412" s="22"/>
      <c r="H412" s="27"/>
      <c r="I412" s="48" t="s">
        <v>1184</v>
      </c>
      <c r="J412" s="53">
        <v>45.2</v>
      </c>
      <c r="K412" s="53">
        <v>3.9</v>
      </c>
      <c r="L412" s="53">
        <f>ROUND((N412/J412)*100,1)</f>
        <v>82.5</v>
      </c>
      <c r="M412" s="53" t="s">
        <v>986</v>
      </c>
      <c r="N412" s="53">
        <f>45.2-7.9</f>
        <v>37.300000000000004</v>
      </c>
      <c r="O412" s="54" t="s">
        <v>986</v>
      </c>
      <c r="P412" s="30" t="s">
        <v>1297</v>
      </c>
      <c r="Q412" s="50"/>
    </row>
    <row r="413" spans="1:17" ht="16" thickBot="1">
      <c r="A413" s="19"/>
      <c r="B413" s="29"/>
      <c r="C413" s="29"/>
      <c r="D413" s="19"/>
      <c r="E413" s="22"/>
      <c r="F413" s="22"/>
      <c r="G413" s="22"/>
      <c r="H413" s="27"/>
      <c r="I413" s="49" t="s">
        <v>1295</v>
      </c>
      <c r="J413" s="55">
        <v>63.8</v>
      </c>
      <c r="K413" s="55">
        <v>4</v>
      </c>
      <c r="L413" s="55">
        <f>ROUND((N413/J413)*100,1)</f>
        <v>86.2</v>
      </c>
      <c r="M413" s="55" t="s">
        <v>986</v>
      </c>
      <c r="N413" s="55">
        <v>55</v>
      </c>
      <c r="O413" s="56" t="s">
        <v>986</v>
      </c>
      <c r="P413" s="30" t="s">
        <v>1297</v>
      </c>
      <c r="Q413" s="50"/>
    </row>
    <row r="414" spans="1:17" s="58" customFormat="1" ht="15">
      <c r="A414" s="3"/>
      <c r="B414" s="5"/>
      <c r="C414" s="5"/>
      <c r="D414" s="3"/>
      <c r="E414" s="74"/>
      <c r="F414" s="74"/>
      <c r="G414" s="74"/>
      <c r="H414" s="3"/>
      <c r="I414" s="3"/>
      <c r="J414" s="74"/>
      <c r="K414" s="74"/>
      <c r="L414" s="144"/>
      <c r="M414" s="74"/>
      <c r="N414" s="74"/>
      <c r="O414" s="74"/>
      <c r="P414" s="3"/>
      <c r="Q414" s="73"/>
    </row>
    <row r="415" spans="1:17" s="58" customFormat="1" ht="15">
      <c r="A415" s="293"/>
      <c r="B415" s="297"/>
      <c r="C415" s="297"/>
      <c r="D415" s="293"/>
      <c r="E415" s="292"/>
      <c r="F415" s="292"/>
      <c r="G415" s="292"/>
      <c r="H415" s="293"/>
      <c r="I415" s="293"/>
      <c r="J415" s="292"/>
      <c r="K415" s="292"/>
      <c r="L415" s="295"/>
      <c r="M415" s="292"/>
      <c r="N415" s="292"/>
      <c r="O415" s="292"/>
      <c r="P415" s="293"/>
      <c r="Q415" s="73"/>
    </row>
    <row r="416" spans="1:17" s="58" customFormat="1" ht="16" thickBot="1">
      <c r="A416" s="3"/>
      <c r="B416" s="5"/>
      <c r="C416" s="5"/>
      <c r="D416" s="3"/>
      <c r="E416" s="74"/>
      <c r="F416" s="74"/>
      <c r="G416" s="74"/>
      <c r="H416" s="3"/>
      <c r="I416" s="3"/>
      <c r="J416" s="74"/>
      <c r="K416" s="74"/>
      <c r="L416" s="144"/>
      <c r="M416" s="74"/>
      <c r="N416" s="74"/>
      <c r="O416" s="74"/>
      <c r="P416" s="3"/>
      <c r="Q416" s="73"/>
    </row>
    <row r="417" spans="1:17" ht="15">
      <c r="A417" s="19" t="s">
        <v>1481</v>
      </c>
      <c r="B417" s="29" t="s">
        <v>1482</v>
      </c>
      <c r="C417" s="29" t="s">
        <v>1369</v>
      </c>
      <c r="D417" s="19" t="s">
        <v>1241</v>
      </c>
      <c r="E417" s="22">
        <v>1990</v>
      </c>
      <c r="F417" s="22">
        <v>10</v>
      </c>
      <c r="G417" s="22">
        <v>19</v>
      </c>
      <c r="H417" s="27" t="s">
        <v>1363</v>
      </c>
      <c r="I417" s="47" t="s">
        <v>1483</v>
      </c>
      <c r="J417" s="51">
        <v>30.5</v>
      </c>
      <c r="K417" s="51">
        <v>15</v>
      </c>
      <c r="L417" s="51">
        <f t="shared" ref="L417:L426" si="39">ROUND((N417/J417)*100,1)</f>
        <v>79.7</v>
      </c>
      <c r="M417" s="51" t="s">
        <v>986</v>
      </c>
      <c r="N417" s="51">
        <f>J417-6.2</f>
        <v>24.3</v>
      </c>
      <c r="O417" s="52" t="s">
        <v>986</v>
      </c>
      <c r="P417" s="30" t="s">
        <v>185</v>
      </c>
      <c r="Q417" s="50"/>
    </row>
    <row r="418" spans="1:17" ht="15">
      <c r="A418" s="19"/>
      <c r="B418" s="29"/>
      <c r="C418" s="29"/>
      <c r="D418" s="19"/>
      <c r="E418" s="22"/>
      <c r="F418" s="22"/>
      <c r="G418" s="22"/>
      <c r="H418" s="27"/>
      <c r="I418" s="48" t="s">
        <v>1238</v>
      </c>
      <c r="J418" s="53">
        <v>24.5</v>
      </c>
      <c r="K418" s="53">
        <v>16.899999999999999</v>
      </c>
      <c r="L418" s="53">
        <f t="shared" si="39"/>
        <v>51.8</v>
      </c>
      <c r="M418" s="53" t="s">
        <v>986</v>
      </c>
      <c r="N418" s="53">
        <f>J418-11.8</f>
        <v>12.7</v>
      </c>
      <c r="O418" s="54" t="s">
        <v>986</v>
      </c>
      <c r="P418" s="30" t="s">
        <v>185</v>
      </c>
      <c r="Q418" s="50"/>
    </row>
    <row r="419" spans="1:17" ht="15">
      <c r="A419" s="19"/>
      <c r="B419" s="29"/>
      <c r="C419" s="29"/>
      <c r="D419" s="19"/>
      <c r="E419" s="22"/>
      <c r="F419" s="22"/>
      <c r="G419" s="22"/>
      <c r="H419" s="27"/>
      <c r="I419" s="48" t="s">
        <v>912</v>
      </c>
      <c r="J419" s="53">
        <v>269.89999999999998</v>
      </c>
      <c r="K419" s="53">
        <v>120.5</v>
      </c>
      <c r="L419" s="53">
        <f t="shared" si="39"/>
        <v>17.5</v>
      </c>
      <c r="M419" s="53" t="s">
        <v>986</v>
      </c>
      <c r="N419" s="53">
        <f>J419-222.7</f>
        <v>47.199999999999989</v>
      </c>
      <c r="O419" s="54" t="s">
        <v>986</v>
      </c>
      <c r="P419" s="30" t="s">
        <v>185</v>
      </c>
      <c r="Q419" s="50"/>
    </row>
    <row r="420" spans="1:17" ht="15">
      <c r="A420" s="19"/>
      <c r="B420" s="29"/>
      <c r="C420" s="29"/>
      <c r="D420" s="19"/>
      <c r="E420" s="22"/>
      <c r="F420" s="22"/>
      <c r="G420" s="22"/>
      <c r="H420" s="27"/>
      <c r="I420" s="48" t="s">
        <v>1353</v>
      </c>
      <c r="J420" s="53">
        <v>4.4000000000000004</v>
      </c>
      <c r="K420" s="53">
        <v>4.8</v>
      </c>
      <c r="L420" s="53">
        <f t="shared" si="39"/>
        <v>86.4</v>
      </c>
      <c r="M420" s="53" t="s">
        <v>986</v>
      </c>
      <c r="N420" s="53">
        <f>J420-0.6</f>
        <v>3.8000000000000003</v>
      </c>
      <c r="O420" s="54" t="s">
        <v>986</v>
      </c>
      <c r="P420" s="30" t="s">
        <v>185</v>
      </c>
      <c r="Q420" s="50"/>
    </row>
    <row r="421" spans="1:17" ht="15">
      <c r="A421" s="19"/>
      <c r="B421" s="29"/>
      <c r="C421" s="29"/>
      <c r="D421" s="19"/>
      <c r="E421" s="22"/>
      <c r="F421" s="22"/>
      <c r="G421" s="22"/>
      <c r="H421" s="27"/>
      <c r="I421" s="48" t="s">
        <v>1333</v>
      </c>
      <c r="J421" s="53">
        <v>3.2</v>
      </c>
      <c r="K421" s="53">
        <v>4.4000000000000004</v>
      </c>
      <c r="L421" s="53">
        <f t="shared" si="39"/>
        <v>75</v>
      </c>
      <c r="M421" s="53" t="s">
        <v>986</v>
      </c>
      <c r="N421" s="53">
        <f>J421-0.8</f>
        <v>2.4000000000000004</v>
      </c>
      <c r="O421" s="54" t="s">
        <v>986</v>
      </c>
      <c r="P421" s="30" t="s">
        <v>185</v>
      </c>
      <c r="Q421" s="50"/>
    </row>
    <row r="422" spans="1:17" ht="15">
      <c r="A422" s="19"/>
      <c r="B422" s="29"/>
      <c r="C422" s="29"/>
      <c r="D422" s="19"/>
      <c r="E422" s="22"/>
      <c r="F422" s="22"/>
      <c r="G422" s="22"/>
      <c r="H422" s="27"/>
      <c r="I422" s="48" t="s">
        <v>1354</v>
      </c>
      <c r="J422" s="53">
        <v>3.2</v>
      </c>
      <c r="K422" s="53">
        <v>9.6999999999999993</v>
      </c>
      <c r="L422" s="53">
        <f t="shared" si="39"/>
        <v>90.6</v>
      </c>
      <c r="M422" s="53" t="s">
        <v>986</v>
      </c>
      <c r="N422" s="53">
        <f>J422-0.3</f>
        <v>2.9000000000000004</v>
      </c>
      <c r="O422" s="54" t="s">
        <v>986</v>
      </c>
      <c r="P422" s="30" t="s">
        <v>185</v>
      </c>
      <c r="Q422" s="50"/>
    </row>
    <row r="423" spans="1:17" ht="15">
      <c r="A423" s="19"/>
      <c r="B423" s="29"/>
      <c r="C423" s="29"/>
      <c r="D423" s="19"/>
      <c r="E423" s="22"/>
      <c r="F423" s="22"/>
      <c r="G423" s="22"/>
      <c r="H423" s="27"/>
      <c r="I423" s="48" t="s">
        <v>544</v>
      </c>
      <c r="J423" s="53">
        <v>30</v>
      </c>
      <c r="K423" s="53">
        <v>12.9</v>
      </c>
      <c r="L423" s="53">
        <f t="shared" si="39"/>
        <v>68</v>
      </c>
      <c r="M423" s="53" t="s">
        <v>986</v>
      </c>
      <c r="N423" s="53">
        <f>J423-9.6</f>
        <v>20.399999999999999</v>
      </c>
      <c r="O423" s="54" t="s">
        <v>986</v>
      </c>
      <c r="P423" s="30" t="s">
        <v>185</v>
      </c>
      <c r="Q423" s="50"/>
    </row>
    <row r="424" spans="1:17" ht="15">
      <c r="A424" s="19"/>
      <c r="B424" s="29"/>
      <c r="C424" s="29"/>
      <c r="D424" s="19"/>
      <c r="E424" s="22"/>
      <c r="F424" s="22"/>
      <c r="G424" s="22"/>
      <c r="H424" s="27"/>
      <c r="I424" s="48" t="s">
        <v>1335</v>
      </c>
      <c r="J424" s="53">
        <v>2.2000000000000002</v>
      </c>
      <c r="K424" s="53">
        <v>2.7</v>
      </c>
      <c r="L424" s="53">
        <f t="shared" si="39"/>
        <v>72.7</v>
      </c>
      <c r="M424" s="53" t="s">
        <v>986</v>
      </c>
      <c r="N424" s="53">
        <f>J424-0.6</f>
        <v>1.6</v>
      </c>
      <c r="O424" s="54" t="s">
        <v>986</v>
      </c>
      <c r="P424" s="30" t="s">
        <v>185</v>
      </c>
      <c r="Q424" s="50"/>
    </row>
    <row r="425" spans="1:17" ht="15">
      <c r="A425" s="19"/>
      <c r="B425" s="29"/>
      <c r="C425" s="29"/>
      <c r="D425" s="19"/>
      <c r="E425" s="22"/>
      <c r="F425" s="22"/>
      <c r="G425" s="22"/>
      <c r="H425" s="27"/>
      <c r="I425" s="48" t="s">
        <v>1484</v>
      </c>
      <c r="J425" s="53">
        <v>1.3</v>
      </c>
      <c r="K425" s="53" t="s">
        <v>986</v>
      </c>
      <c r="L425" s="53">
        <f t="shared" si="39"/>
        <v>15.4</v>
      </c>
      <c r="M425" s="53" t="s">
        <v>986</v>
      </c>
      <c r="N425" s="53">
        <f>J425-1.1</f>
        <v>0.19999999999999996</v>
      </c>
      <c r="O425" s="54" t="s">
        <v>986</v>
      </c>
      <c r="P425" s="30" t="s">
        <v>185</v>
      </c>
      <c r="Q425" s="50"/>
    </row>
    <row r="426" spans="1:17" ht="16" thickBot="1">
      <c r="A426" s="19"/>
      <c r="B426" s="29"/>
      <c r="C426" s="29"/>
      <c r="D426" s="19"/>
      <c r="E426" s="22"/>
      <c r="F426" s="22"/>
      <c r="G426" s="22"/>
      <c r="H426" s="27"/>
      <c r="I426" s="49" t="s">
        <v>485</v>
      </c>
      <c r="J426" s="55">
        <v>369.3</v>
      </c>
      <c r="K426" s="55">
        <v>187</v>
      </c>
      <c r="L426" s="55">
        <f t="shared" si="39"/>
        <v>30.2</v>
      </c>
      <c r="M426" s="55" t="s">
        <v>986</v>
      </c>
      <c r="N426" s="55">
        <f>J426-257.9</f>
        <v>111.40000000000003</v>
      </c>
      <c r="O426" s="56" t="s">
        <v>986</v>
      </c>
      <c r="P426" s="30" t="s">
        <v>185</v>
      </c>
      <c r="Q426" s="50"/>
    </row>
    <row r="427" spans="1:17" s="1" customFormat="1">
      <c r="A427" s="3"/>
      <c r="B427" s="5"/>
      <c r="C427" s="5"/>
      <c r="D427" s="3"/>
      <c r="E427" s="74"/>
      <c r="F427" s="74"/>
      <c r="G427" s="74"/>
      <c r="H427" s="3"/>
      <c r="I427" s="3"/>
      <c r="J427" s="74"/>
      <c r="K427" s="74"/>
      <c r="L427" s="74"/>
      <c r="M427" s="74"/>
      <c r="N427" s="74"/>
      <c r="O427" s="74"/>
      <c r="P427" s="3"/>
      <c r="Q427" s="3"/>
    </row>
    <row r="428" spans="1:17" s="1" customFormat="1">
      <c r="A428" s="293"/>
      <c r="B428" s="297"/>
      <c r="C428" s="297"/>
      <c r="D428" s="293"/>
      <c r="E428" s="292"/>
      <c r="F428" s="292"/>
      <c r="G428" s="292"/>
      <c r="H428" s="293"/>
      <c r="I428" s="293"/>
      <c r="J428" s="292"/>
      <c r="K428" s="292"/>
      <c r="L428" s="292"/>
      <c r="M428" s="292"/>
      <c r="N428" s="292"/>
      <c r="O428" s="292"/>
      <c r="P428" s="293"/>
      <c r="Q428" s="3"/>
    </row>
    <row r="429" spans="1:17" s="1" customFormat="1">
      <c r="A429" s="3"/>
      <c r="B429" s="5"/>
      <c r="C429" s="5"/>
      <c r="D429" s="3"/>
      <c r="E429" s="74"/>
      <c r="F429" s="74"/>
      <c r="G429" s="74"/>
      <c r="H429" s="3"/>
      <c r="I429" s="3"/>
      <c r="J429" s="74"/>
      <c r="K429" s="74"/>
      <c r="L429" s="74"/>
      <c r="M429" s="74"/>
      <c r="N429" s="74"/>
      <c r="O429" s="74"/>
      <c r="P429" s="3"/>
      <c r="Q429" s="3"/>
    </row>
    <row r="430" spans="1:17">
      <c r="A430" s="19" t="s">
        <v>1324</v>
      </c>
      <c r="B430" s="29" t="s">
        <v>1325</v>
      </c>
      <c r="C430" s="29" t="s">
        <v>1326</v>
      </c>
      <c r="D430" s="19" t="s">
        <v>1517</v>
      </c>
      <c r="E430" s="22">
        <v>1997</v>
      </c>
      <c r="F430" s="22" t="s">
        <v>1046</v>
      </c>
      <c r="G430" s="22" t="s">
        <v>1046</v>
      </c>
      <c r="H430" s="19" t="s">
        <v>1363</v>
      </c>
      <c r="I430" s="19" t="s">
        <v>1518</v>
      </c>
      <c r="J430" s="22">
        <v>94.94</v>
      </c>
      <c r="K430" s="22" t="s">
        <v>186</v>
      </c>
      <c r="L430" s="22">
        <v>13.3</v>
      </c>
      <c r="M430" s="22" t="s">
        <v>186</v>
      </c>
      <c r="N430" s="22">
        <f t="shared" ref="N430:N464" si="40">J430*(L430/100)</f>
        <v>12.62702</v>
      </c>
      <c r="O430" s="22" t="s">
        <v>186</v>
      </c>
      <c r="P430" s="19" t="s">
        <v>186</v>
      </c>
      <c r="Q430" s="50"/>
    </row>
    <row r="431" spans="1:17">
      <c r="A431" s="19"/>
      <c r="B431" s="29"/>
      <c r="C431" s="29"/>
      <c r="D431" s="19"/>
      <c r="E431" s="22"/>
      <c r="F431" s="22"/>
      <c r="G431" s="22"/>
      <c r="H431" s="19"/>
      <c r="I431" s="19" t="s">
        <v>1519</v>
      </c>
      <c r="J431" s="22">
        <v>202.97</v>
      </c>
      <c r="K431" s="22" t="s">
        <v>532</v>
      </c>
      <c r="L431" s="22">
        <v>5.3</v>
      </c>
      <c r="M431" s="22" t="s">
        <v>532</v>
      </c>
      <c r="N431" s="22">
        <f t="shared" si="40"/>
        <v>10.75741</v>
      </c>
      <c r="O431" s="22" t="s">
        <v>532</v>
      </c>
      <c r="P431" s="19" t="s">
        <v>532</v>
      </c>
      <c r="Q431" s="50"/>
    </row>
    <row r="432" spans="1:17">
      <c r="A432" s="19"/>
      <c r="B432" s="29"/>
      <c r="C432" s="29"/>
      <c r="D432" s="19"/>
      <c r="E432" s="22"/>
      <c r="F432" s="22"/>
      <c r="G432" s="22"/>
      <c r="H432" s="19"/>
      <c r="I432" s="19" t="s">
        <v>1520</v>
      </c>
      <c r="J432" s="22">
        <v>116.43</v>
      </c>
      <c r="K432" s="22" t="s">
        <v>532</v>
      </c>
      <c r="L432" s="22">
        <v>13.3</v>
      </c>
      <c r="M432" s="22" t="s">
        <v>532</v>
      </c>
      <c r="N432" s="22">
        <f t="shared" si="40"/>
        <v>15.485190000000001</v>
      </c>
      <c r="O432" s="22" t="s">
        <v>532</v>
      </c>
      <c r="P432" s="19" t="s">
        <v>532</v>
      </c>
      <c r="Q432" s="50"/>
    </row>
    <row r="433" spans="1:17">
      <c r="A433" s="19"/>
      <c r="B433" s="29"/>
      <c r="C433" s="29"/>
      <c r="D433" s="19"/>
      <c r="E433" s="22"/>
      <c r="F433" s="22"/>
      <c r="G433" s="22"/>
      <c r="H433" s="19"/>
      <c r="I433" s="19" t="s">
        <v>1521</v>
      </c>
      <c r="J433" s="22">
        <v>32.19</v>
      </c>
      <c r="K433" s="22" t="s">
        <v>532</v>
      </c>
      <c r="L433" s="22">
        <v>84</v>
      </c>
      <c r="M433" s="22" t="s">
        <v>532</v>
      </c>
      <c r="N433" s="22">
        <f t="shared" si="40"/>
        <v>27.039599999999997</v>
      </c>
      <c r="O433" s="22" t="s">
        <v>532</v>
      </c>
      <c r="P433" s="19" t="s">
        <v>532</v>
      </c>
      <c r="Q433" s="50"/>
    </row>
    <row r="434" spans="1:17">
      <c r="A434" s="19"/>
      <c r="B434" s="29"/>
      <c r="C434" s="29"/>
      <c r="D434" s="19"/>
      <c r="E434" s="22"/>
      <c r="F434" s="22"/>
      <c r="G434" s="22"/>
      <c r="H434" s="19"/>
      <c r="I434" s="19" t="s">
        <v>1537</v>
      </c>
      <c r="J434" s="22">
        <v>25.927</v>
      </c>
      <c r="K434" s="22" t="s">
        <v>532</v>
      </c>
      <c r="L434" s="22">
        <v>93.7</v>
      </c>
      <c r="M434" s="22" t="s">
        <v>532</v>
      </c>
      <c r="N434" s="22">
        <f t="shared" si="40"/>
        <v>24.293599</v>
      </c>
      <c r="O434" s="22" t="s">
        <v>532</v>
      </c>
      <c r="P434" s="19" t="s">
        <v>532</v>
      </c>
      <c r="Q434" s="50"/>
    </row>
    <row r="435" spans="1:17">
      <c r="A435" s="19"/>
      <c r="B435" s="29"/>
      <c r="C435" s="29"/>
      <c r="D435" s="19"/>
      <c r="E435" s="22"/>
      <c r="F435" s="22"/>
      <c r="G435" s="22"/>
      <c r="H435" s="19"/>
      <c r="I435" s="19" t="s">
        <v>1538</v>
      </c>
      <c r="J435" s="22">
        <v>23.757999999999999</v>
      </c>
      <c r="K435" s="22" t="s">
        <v>532</v>
      </c>
      <c r="L435" s="22">
        <v>93.7</v>
      </c>
      <c r="M435" s="22" t="s">
        <v>532</v>
      </c>
      <c r="N435" s="22">
        <f t="shared" si="40"/>
        <v>22.261246</v>
      </c>
      <c r="O435" s="22" t="s">
        <v>532</v>
      </c>
      <c r="P435" s="19" t="s">
        <v>532</v>
      </c>
      <c r="Q435" s="50"/>
    </row>
    <row r="436" spans="1:17">
      <c r="A436" s="19"/>
      <c r="B436" s="29"/>
      <c r="C436" s="29"/>
      <c r="D436" s="19"/>
      <c r="E436" s="22"/>
      <c r="F436" s="22"/>
      <c r="G436" s="22"/>
      <c r="H436" s="19"/>
      <c r="I436" s="19" t="s">
        <v>1539</v>
      </c>
      <c r="J436" s="22">
        <v>496</v>
      </c>
      <c r="K436" s="22" t="s">
        <v>532</v>
      </c>
      <c r="L436" s="22">
        <v>22.7</v>
      </c>
      <c r="M436" s="22" t="s">
        <v>532</v>
      </c>
      <c r="N436" s="22">
        <f t="shared" si="40"/>
        <v>112.59199999999998</v>
      </c>
      <c r="O436" s="22" t="s">
        <v>532</v>
      </c>
      <c r="P436" s="19" t="s">
        <v>532</v>
      </c>
      <c r="Q436" s="50"/>
    </row>
    <row r="437" spans="1:17">
      <c r="A437" s="19" t="s">
        <v>1458</v>
      </c>
      <c r="B437" s="29" t="s">
        <v>1325</v>
      </c>
      <c r="C437" s="29" t="s">
        <v>1326</v>
      </c>
      <c r="D437" s="19" t="s">
        <v>1337</v>
      </c>
      <c r="E437" s="22">
        <v>1997</v>
      </c>
      <c r="F437" s="22" t="s">
        <v>1046</v>
      </c>
      <c r="G437" s="22" t="s">
        <v>1046</v>
      </c>
      <c r="H437" s="19" t="s">
        <v>1363</v>
      </c>
      <c r="I437" s="19" t="s">
        <v>1338</v>
      </c>
      <c r="J437" s="22">
        <v>94.94</v>
      </c>
      <c r="K437" s="22" t="s">
        <v>532</v>
      </c>
      <c r="L437" s="22">
        <v>10.4</v>
      </c>
      <c r="M437" s="22" t="s">
        <v>532</v>
      </c>
      <c r="N437" s="22">
        <f t="shared" si="40"/>
        <v>9.8737600000000008</v>
      </c>
      <c r="O437" s="22" t="s">
        <v>532</v>
      </c>
      <c r="P437" s="19" t="s">
        <v>532</v>
      </c>
      <c r="Q437" s="50"/>
    </row>
    <row r="438" spans="1:17">
      <c r="A438" s="19"/>
      <c r="B438" s="29"/>
      <c r="C438" s="29"/>
      <c r="D438" s="19"/>
      <c r="E438" s="22"/>
      <c r="F438" s="22"/>
      <c r="G438" s="22"/>
      <c r="H438" s="19"/>
      <c r="I438" s="19" t="s">
        <v>1339</v>
      </c>
      <c r="J438" s="22">
        <v>202.97</v>
      </c>
      <c r="K438" s="22" t="s">
        <v>532</v>
      </c>
      <c r="L438" s="22">
        <v>3.1</v>
      </c>
      <c r="M438" s="22" t="s">
        <v>532</v>
      </c>
      <c r="N438" s="22">
        <f t="shared" si="40"/>
        <v>6.2920699999999998</v>
      </c>
      <c r="O438" s="22" t="s">
        <v>532</v>
      </c>
      <c r="P438" s="19" t="s">
        <v>532</v>
      </c>
      <c r="Q438" s="50"/>
    </row>
    <row r="439" spans="1:17">
      <c r="A439" s="19"/>
      <c r="B439" s="29"/>
      <c r="C439" s="29"/>
      <c r="D439" s="19"/>
      <c r="E439" s="22"/>
      <c r="F439" s="22"/>
      <c r="G439" s="22"/>
      <c r="H439" s="19"/>
      <c r="I439" s="19" t="s">
        <v>1520</v>
      </c>
      <c r="J439" s="22">
        <v>116.43</v>
      </c>
      <c r="K439" s="22" t="s">
        <v>532</v>
      </c>
      <c r="L439" s="22">
        <v>10.4</v>
      </c>
      <c r="M439" s="22" t="s">
        <v>532</v>
      </c>
      <c r="N439" s="22">
        <f t="shared" si="40"/>
        <v>12.108720000000002</v>
      </c>
      <c r="O439" s="22" t="s">
        <v>532</v>
      </c>
      <c r="P439" s="19" t="s">
        <v>532</v>
      </c>
      <c r="Q439" s="50"/>
    </row>
    <row r="440" spans="1:17">
      <c r="A440" s="19"/>
      <c r="B440" s="29"/>
      <c r="C440" s="29"/>
      <c r="D440" s="19"/>
      <c r="E440" s="22"/>
      <c r="F440" s="22"/>
      <c r="G440" s="22"/>
      <c r="H440" s="19"/>
      <c r="I440" s="19" t="s">
        <v>1521</v>
      </c>
      <c r="J440" s="22">
        <v>32.19</v>
      </c>
      <c r="K440" s="22" t="s">
        <v>265</v>
      </c>
      <c r="L440" s="22">
        <v>82.6</v>
      </c>
      <c r="M440" s="22" t="s">
        <v>265</v>
      </c>
      <c r="N440" s="22">
        <f t="shared" si="40"/>
        <v>26.588939999999997</v>
      </c>
      <c r="O440" s="22" t="s">
        <v>265</v>
      </c>
      <c r="P440" s="19" t="s">
        <v>265</v>
      </c>
      <c r="Q440" s="50"/>
    </row>
    <row r="441" spans="1:17">
      <c r="A441" s="19"/>
      <c r="B441" s="29"/>
      <c r="C441" s="29"/>
      <c r="D441" s="19"/>
      <c r="E441" s="22"/>
      <c r="F441" s="22"/>
      <c r="G441" s="22"/>
      <c r="H441" s="19"/>
      <c r="I441" s="19" t="s">
        <v>1537</v>
      </c>
      <c r="J441" s="22">
        <v>25.927</v>
      </c>
      <c r="K441" s="22" t="s">
        <v>532</v>
      </c>
      <c r="L441" s="22">
        <v>84</v>
      </c>
      <c r="M441" s="22" t="s">
        <v>532</v>
      </c>
      <c r="N441" s="22">
        <f t="shared" si="40"/>
        <v>21.778679999999998</v>
      </c>
      <c r="O441" s="22" t="s">
        <v>532</v>
      </c>
      <c r="P441" s="19" t="s">
        <v>532</v>
      </c>
      <c r="Q441" s="50"/>
    </row>
    <row r="442" spans="1:17" ht="13" customHeight="1">
      <c r="A442" s="19"/>
      <c r="B442" s="29"/>
      <c r="C442" s="29"/>
      <c r="D442" s="19"/>
      <c r="E442" s="22"/>
      <c r="F442" s="22"/>
      <c r="G442" s="22"/>
      <c r="H442" s="19"/>
      <c r="I442" s="19" t="s">
        <v>1538</v>
      </c>
      <c r="J442" s="22">
        <v>23.757999999999999</v>
      </c>
      <c r="K442" s="22" t="s">
        <v>532</v>
      </c>
      <c r="L442" s="22">
        <v>84</v>
      </c>
      <c r="M442" s="22" t="s">
        <v>532</v>
      </c>
      <c r="N442" s="22">
        <f t="shared" si="40"/>
        <v>19.956719999999997</v>
      </c>
      <c r="O442" s="22" t="s">
        <v>532</v>
      </c>
      <c r="P442" s="19" t="s">
        <v>532</v>
      </c>
      <c r="Q442" s="50"/>
    </row>
    <row r="443" spans="1:17" ht="13" customHeight="1">
      <c r="A443" s="19"/>
      <c r="B443" s="29"/>
      <c r="C443" s="29"/>
      <c r="D443" s="19"/>
      <c r="E443" s="22"/>
      <c r="F443" s="22"/>
      <c r="G443" s="22"/>
      <c r="H443" s="19"/>
      <c r="I443" s="19" t="s">
        <v>1539</v>
      </c>
      <c r="J443" s="22">
        <v>496</v>
      </c>
      <c r="K443" s="22" t="s">
        <v>532</v>
      </c>
      <c r="L443" s="22">
        <v>19.5</v>
      </c>
      <c r="M443" s="22" t="s">
        <v>532</v>
      </c>
      <c r="N443" s="22">
        <f t="shared" si="40"/>
        <v>96.72</v>
      </c>
      <c r="O443" s="22" t="s">
        <v>532</v>
      </c>
      <c r="P443" s="19" t="s">
        <v>532</v>
      </c>
      <c r="Q443" s="50"/>
    </row>
    <row r="444" spans="1:17">
      <c r="A444" s="19" t="s">
        <v>1163</v>
      </c>
      <c r="B444" s="29" t="s">
        <v>1325</v>
      </c>
      <c r="C444" s="29" t="s">
        <v>1326</v>
      </c>
      <c r="D444" s="19" t="s">
        <v>1337</v>
      </c>
      <c r="E444" s="22">
        <v>1998</v>
      </c>
      <c r="F444" s="22" t="s">
        <v>1046</v>
      </c>
      <c r="G444" s="22" t="s">
        <v>1046</v>
      </c>
      <c r="H444" s="19" t="s">
        <v>1363</v>
      </c>
      <c r="I444" s="19" t="s">
        <v>1164</v>
      </c>
      <c r="J444" s="22">
        <v>94.94</v>
      </c>
      <c r="K444" s="22" t="s">
        <v>265</v>
      </c>
      <c r="L444" s="22">
        <v>51</v>
      </c>
      <c r="M444" s="22" t="s">
        <v>265</v>
      </c>
      <c r="N444" s="22">
        <f t="shared" si="40"/>
        <v>48.419400000000003</v>
      </c>
      <c r="O444" s="22" t="s">
        <v>265</v>
      </c>
      <c r="P444" s="19" t="s">
        <v>265</v>
      </c>
      <c r="Q444" s="50"/>
    </row>
    <row r="445" spans="1:17">
      <c r="A445" s="19"/>
      <c r="B445" s="29"/>
      <c r="C445" s="29"/>
      <c r="D445" s="19"/>
      <c r="E445" s="22"/>
      <c r="F445" s="22"/>
      <c r="G445" s="22"/>
      <c r="H445" s="19"/>
      <c r="I445" s="19" t="s">
        <v>1252</v>
      </c>
      <c r="J445" s="22">
        <v>202.97</v>
      </c>
      <c r="K445" s="22" t="s">
        <v>532</v>
      </c>
      <c r="L445" s="22">
        <v>24.7</v>
      </c>
      <c r="M445" s="22" t="s">
        <v>532</v>
      </c>
      <c r="N445" s="22">
        <f t="shared" si="40"/>
        <v>50.133589999999998</v>
      </c>
      <c r="O445" s="22" t="s">
        <v>532</v>
      </c>
      <c r="P445" s="19" t="s">
        <v>532</v>
      </c>
      <c r="Q445" s="50"/>
    </row>
    <row r="446" spans="1:17">
      <c r="A446" s="19"/>
      <c r="B446" s="29"/>
      <c r="C446" s="29"/>
      <c r="D446" s="19"/>
      <c r="E446" s="22"/>
      <c r="F446" s="22"/>
      <c r="G446" s="22"/>
      <c r="H446" s="19"/>
      <c r="I446" s="19" t="s">
        <v>1459</v>
      </c>
      <c r="J446" s="22">
        <v>116.43</v>
      </c>
      <c r="K446" s="22" t="s">
        <v>532</v>
      </c>
      <c r="L446" s="22">
        <v>51</v>
      </c>
      <c r="M446" s="22" t="s">
        <v>532</v>
      </c>
      <c r="N446" s="22">
        <f t="shared" si="40"/>
        <v>59.379300000000008</v>
      </c>
      <c r="O446" s="22" t="s">
        <v>532</v>
      </c>
      <c r="P446" s="19" t="s">
        <v>532</v>
      </c>
      <c r="Q446" s="50"/>
    </row>
    <row r="447" spans="1:17">
      <c r="A447" s="19"/>
      <c r="B447" s="29"/>
      <c r="C447" s="29"/>
      <c r="D447" s="19"/>
      <c r="E447" s="22"/>
      <c r="F447" s="22"/>
      <c r="G447" s="22"/>
      <c r="H447" s="19"/>
      <c r="I447" s="19" t="s">
        <v>1528</v>
      </c>
      <c r="J447" s="22">
        <v>32.19</v>
      </c>
      <c r="K447" s="22" t="s">
        <v>532</v>
      </c>
      <c r="L447" s="22">
        <v>94.8</v>
      </c>
      <c r="M447" s="22" t="s">
        <v>532</v>
      </c>
      <c r="N447" s="22">
        <f t="shared" si="40"/>
        <v>30.516119999999997</v>
      </c>
      <c r="O447" s="22" t="s">
        <v>532</v>
      </c>
      <c r="P447" s="19" t="s">
        <v>532</v>
      </c>
      <c r="Q447" s="50"/>
    </row>
    <row r="448" spans="1:17">
      <c r="A448" s="19"/>
      <c r="B448" s="29"/>
      <c r="C448" s="29"/>
      <c r="D448" s="19"/>
      <c r="E448" s="22"/>
      <c r="F448" s="22"/>
      <c r="G448" s="22"/>
      <c r="H448" s="19"/>
      <c r="I448" s="19" t="s">
        <v>1529</v>
      </c>
      <c r="J448" s="22">
        <v>25.927</v>
      </c>
      <c r="K448" s="22" t="s">
        <v>265</v>
      </c>
      <c r="L448" s="22">
        <v>94.8</v>
      </c>
      <c r="M448" s="22" t="s">
        <v>265</v>
      </c>
      <c r="N448" s="22">
        <f t="shared" si="40"/>
        <v>24.578795999999997</v>
      </c>
      <c r="O448" s="22" t="s">
        <v>265</v>
      </c>
      <c r="P448" s="19" t="s">
        <v>265</v>
      </c>
      <c r="Q448" s="50"/>
    </row>
    <row r="449" spans="1:17">
      <c r="A449" s="19"/>
      <c r="B449" s="29"/>
      <c r="C449" s="29"/>
      <c r="D449" s="19"/>
      <c r="E449" s="22"/>
      <c r="F449" s="22"/>
      <c r="G449" s="22"/>
      <c r="H449" s="19"/>
      <c r="I449" s="19" t="s">
        <v>1530</v>
      </c>
      <c r="J449" s="22">
        <v>23.757999999999999</v>
      </c>
      <c r="K449" s="22" t="s">
        <v>265</v>
      </c>
      <c r="L449" s="22">
        <v>94.8</v>
      </c>
      <c r="M449" s="22" t="s">
        <v>265</v>
      </c>
      <c r="N449" s="22">
        <f t="shared" si="40"/>
        <v>22.522583999999998</v>
      </c>
      <c r="O449" s="22" t="s">
        <v>265</v>
      </c>
      <c r="P449" s="19" t="s">
        <v>265</v>
      </c>
      <c r="Q449" s="50"/>
    </row>
    <row r="450" spans="1:17">
      <c r="A450" s="19"/>
      <c r="B450" s="29"/>
      <c r="C450" s="29"/>
      <c r="D450" s="19"/>
      <c r="E450" s="22"/>
      <c r="F450" s="22"/>
      <c r="G450" s="22"/>
      <c r="H450" s="19"/>
      <c r="I450" s="19" t="s">
        <v>1460</v>
      </c>
      <c r="J450" s="22">
        <v>496</v>
      </c>
      <c r="K450" s="22" t="s">
        <v>532</v>
      </c>
      <c r="L450" s="22">
        <v>47.5</v>
      </c>
      <c r="M450" s="22" t="s">
        <v>532</v>
      </c>
      <c r="N450" s="22">
        <f t="shared" si="40"/>
        <v>235.6</v>
      </c>
      <c r="O450" s="22" t="s">
        <v>532</v>
      </c>
      <c r="P450" s="19" t="s">
        <v>532</v>
      </c>
      <c r="Q450" s="50"/>
    </row>
    <row r="451" spans="1:17">
      <c r="A451" s="19" t="s">
        <v>1650</v>
      </c>
      <c r="B451" s="29" t="s">
        <v>1325</v>
      </c>
      <c r="C451" s="29" t="s">
        <v>1326</v>
      </c>
      <c r="D451" s="19" t="s">
        <v>1651</v>
      </c>
      <c r="E451" s="22">
        <v>1999</v>
      </c>
      <c r="F451" s="22" t="s">
        <v>1046</v>
      </c>
      <c r="G451" s="22" t="s">
        <v>1046</v>
      </c>
      <c r="H451" s="19" t="s">
        <v>1363</v>
      </c>
      <c r="I451" s="19" t="s">
        <v>1164</v>
      </c>
      <c r="J451" s="22">
        <v>94.94</v>
      </c>
      <c r="K451" s="22" t="s">
        <v>532</v>
      </c>
      <c r="L451" s="22">
        <v>72.5</v>
      </c>
      <c r="M451" s="22" t="s">
        <v>532</v>
      </c>
      <c r="N451" s="22">
        <f t="shared" si="40"/>
        <v>68.831499999999991</v>
      </c>
      <c r="O451" s="22" t="s">
        <v>532</v>
      </c>
      <c r="P451" s="19" t="s">
        <v>532</v>
      </c>
      <c r="Q451" s="50"/>
    </row>
    <row r="452" spans="1:17">
      <c r="A452" s="19"/>
      <c r="B452" s="29"/>
      <c r="C452" s="29"/>
      <c r="D452" s="19"/>
      <c r="E452" s="22"/>
      <c r="F452" s="22"/>
      <c r="G452" s="22"/>
      <c r="H452" s="19"/>
      <c r="I452" s="19" t="s">
        <v>1252</v>
      </c>
      <c r="J452" s="22">
        <v>202.97</v>
      </c>
      <c r="K452" s="22" t="s">
        <v>532</v>
      </c>
      <c r="L452" s="22">
        <v>36.200000000000003</v>
      </c>
      <c r="M452" s="22" t="s">
        <v>532</v>
      </c>
      <c r="N452" s="22">
        <f t="shared" si="40"/>
        <v>73.47514000000001</v>
      </c>
      <c r="O452" s="22" t="s">
        <v>532</v>
      </c>
      <c r="P452" s="19" t="s">
        <v>532</v>
      </c>
      <c r="Q452" s="50"/>
    </row>
    <row r="453" spans="1:17">
      <c r="A453" s="19"/>
      <c r="B453" s="29"/>
      <c r="C453" s="29"/>
      <c r="D453" s="19"/>
      <c r="E453" s="22"/>
      <c r="F453" s="22"/>
      <c r="G453" s="22"/>
      <c r="H453" s="19"/>
      <c r="I453" s="19" t="s">
        <v>1459</v>
      </c>
      <c r="J453" s="22">
        <v>116.43</v>
      </c>
      <c r="K453" s="22" t="s">
        <v>532</v>
      </c>
      <c r="L453" s="22">
        <v>72.5</v>
      </c>
      <c r="M453" s="22" t="s">
        <v>532</v>
      </c>
      <c r="N453" s="22">
        <f t="shared" si="40"/>
        <v>84.411749999999998</v>
      </c>
      <c r="O453" s="22" t="s">
        <v>532</v>
      </c>
      <c r="P453" s="19" t="s">
        <v>532</v>
      </c>
      <c r="Q453" s="50"/>
    </row>
    <row r="454" spans="1:17">
      <c r="A454" s="19"/>
      <c r="B454" s="29"/>
      <c r="C454" s="29"/>
      <c r="D454" s="19"/>
      <c r="E454" s="22"/>
      <c r="F454" s="22"/>
      <c r="G454" s="22"/>
      <c r="H454" s="19"/>
      <c r="I454" s="19" t="s">
        <v>1528</v>
      </c>
      <c r="J454" s="22">
        <v>32.19</v>
      </c>
      <c r="K454" s="22" t="s">
        <v>532</v>
      </c>
      <c r="L454" s="22">
        <v>95.5</v>
      </c>
      <c r="M454" s="22" t="s">
        <v>532</v>
      </c>
      <c r="N454" s="22">
        <f t="shared" si="40"/>
        <v>30.741449999999997</v>
      </c>
      <c r="O454" s="22" t="s">
        <v>532</v>
      </c>
      <c r="P454" s="19" t="s">
        <v>532</v>
      </c>
      <c r="Q454" s="50"/>
    </row>
    <row r="455" spans="1:17">
      <c r="A455" s="19"/>
      <c r="B455" s="29"/>
      <c r="C455" s="29"/>
      <c r="D455" s="19"/>
      <c r="E455" s="22"/>
      <c r="F455" s="22"/>
      <c r="G455" s="22"/>
      <c r="H455" s="19"/>
      <c r="I455" s="19" t="s">
        <v>1529</v>
      </c>
      <c r="J455" s="22">
        <v>25.927</v>
      </c>
      <c r="K455" s="22" t="s">
        <v>532</v>
      </c>
      <c r="L455" s="22">
        <v>95.5</v>
      </c>
      <c r="M455" s="22" t="s">
        <v>532</v>
      </c>
      <c r="N455" s="22">
        <f t="shared" si="40"/>
        <v>24.760285</v>
      </c>
      <c r="O455" s="22" t="s">
        <v>532</v>
      </c>
      <c r="P455" s="19" t="s">
        <v>532</v>
      </c>
      <c r="Q455" s="50"/>
    </row>
    <row r="456" spans="1:17">
      <c r="A456" s="19"/>
      <c r="B456" s="29"/>
      <c r="C456" s="29"/>
      <c r="D456" s="19"/>
      <c r="E456" s="22"/>
      <c r="F456" s="22"/>
      <c r="G456" s="22"/>
      <c r="H456" s="19"/>
      <c r="I456" s="19" t="s">
        <v>1530</v>
      </c>
      <c r="J456" s="22">
        <v>23.757999999999999</v>
      </c>
      <c r="K456" s="22" t="s">
        <v>532</v>
      </c>
      <c r="L456" s="22">
        <v>95.5</v>
      </c>
      <c r="M456" s="22" t="s">
        <v>532</v>
      </c>
      <c r="N456" s="22">
        <f t="shared" si="40"/>
        <v>22.688889999999997</v>
      </c>
      <c r="O456" s="22" t="s">
        <v>532</v>
      </c>
      <c r="P456" s="19" t="s">
        <v>532</v>
      </c>
      <c r="Q456" s="50"/>
    </row>
    <row r="457" spans="1:17">
      <c r="A457" s="19"/>
      <c r="B457" s="29"/>
      <c r="C457" s="29"/>
      <c r="D457" s="19"/>
      <c r="E457" s="22"/>
      <c r="F457" s="22"/>
      <c r="G457" s="22"/>
      <c r="H457" s="19"/>
      <c r="I457" s="19" t="s">
        <v>1460</v>
      </c>
      <c r="J457" s="22">
        <v>496</v>
      </c>
      <c r="K457" s="22" t="s">
        <v>532</v>
      </c>
      <c r="L457" s="22">
        <v>61.5</v>
      </c>
      <c r="M457" s="22" t="s">
        <v>532</v>
      </c>
      <c r="N457" s="22">
        <f t="shared" si="40"/>
        <v>305.04000000000002</v>
      </c>
      <c r="O457" s="22" t="s">
        <v>532</v>
      </c>
      <c r="P457" s="19" t="s">
        <v>532</v>
      </c>
      <c r="Q457" s="50"/>
    </row>
    <row r="458" spans="1:17">
      <c r="A458" s="19" t="s">
        <v>1650</v>
      </c>
      <c r="B458" s="29" t="s">
        <v>1325</v>
      </c>
      <c r="C458" s="29" t="s">
        <v>1326</v>
      </c>
      <c r="D458" s="19" t="s">
        <v>1651</v>
      </c>
      <c r="E458" s="22">
        <v>1999</v>
      </c>
      <c r="F458" s="22" t="s">
        <v>1046</v>
      </c>
      <c r="G458" s="22" t="s">
        <v>1046</v>
      </c>
      <c r="H458" s="19" t="s">
        <v>1363</v>
      </c>
      <c r="I458" s="19" t="s">
        <v>1164</v>
      </c>
      <c r="J458" s="22">
        <v>94.94</v>
      </c>
      <c r="K458" s="22" t="s">
        <v>532</v>
      </c>
      <c r="L458" s="22">
        <v>42.2</v>
      </c>
      <c r="M458" s="22" t="s">
        <v>532</v>
      </c>
      <c r="N458" s="22">
        <f t="shared" si="40"/>
        <v>40.064680000000003</v>
      </c>
      <c r="O458" s="22" t="s">
        <v>532</v>
      </c>
      <c r="P458" s="19" t="s">
        <v>532</v>
      </c>
      <c r="Q458" s="50"/>
    </row>
    <row r="459" spans="1:17">
      <c r="A459" s="19"/>
      <c r="B459" s="29"/>
      <c r="C459" s="29"/>
      <c r="D459" s="19"/>
      <c r="E459" s="22"/>
      <c r="F459" s="22"/>
      <c r="G459" s="22"/>
      <c r="H459" s="19"/>
      <c r="I459" s="19" t="s">
        <v>1252</v>
      </c>
      <c r="J459" s="22">
        <v>202.97</v>
      </c>
      <c r="K459" s="22" t="s">
        <v>532</v>
      </c>
      <c r="L459" s="22">
        <v>20.5</v>
      </c>
      <c r="M459" s="22" t="s">
        <v>532</v>
      </c>
      <c r="N459" s="22">
        <f t="shared" si="40"/>
        <v>41.608849999999997</v>
      </c>
      <c r="O459" s="22" t="s">
        <v>532</v>
      </c>
      <c r="P459" s="19" t="s">
        <v>532</v>
      </c>
      <c r="Q459" s="50"/>
    </row>
    <row r="460" spans="1:17">
      <c r="A460" s="19"/>
      <c r="B460" s="29"/>
      <c r="C460" s="29"/>
      <c r="D460" s="19"/>
      <c r="E460" s="22"/>
      <c r="F460" s="22"/>
      <c r="G460" s="22"/>
      <c r="H460" s="19"/>
      <c r="I460" s="19" t="s">
        <v>1459</v>
      </c>
      <c r="J460" s="22">
        <v>116.43</v>
      </c>
      <c r="K460" s="22" t="s">
        <v>532</v>
      </c>
      <c r="L460" s="22">
        <v>42.4</v>
      </c>
      <c r="M460" s="22" t="s">
        <v>532</v>
      </c>
      <c r="N460" s="22">
        <f t="shared" si="40"/>
        <v>49.366320000000002</v>
      </c>
      <c r="O460" s="22" t="s">
        <v>532</v>
      </c>
      <c r="P460" s="19" t="s">
        <v>532</v>
      </c>
      <c r="Q460" s="50"/>
    </row>
    <row r="461" spans="1:17">
      <c r="A461" s="19"/>
      <c r="B461" s="29"/>
      <c r="C461" s="29"/>
      <c r="D461" s="19"/>
      <c r="E461" s="22"/>
      <c r="F461" s="22"/>
      <c r="G461" s="22"/>
      <c r="H461" s="19"/>
      <c r="I461" s="19" t="s">
        <v>1528</v>
      </c>
      <c r="J461" s="22">
        <v>32.19</v>
      </c>
      <c r="K461" s="22" t="s">
        <v>265</v>
      </c>
      <c r="L461" s="22">
        <v>93.6</v>
      </c>
      <c r="M461" s="22" t="s">
        <v>265</v>
      </c>
      <c r="N461" s="22">
        <f t="shared" si="40"/>
        <v>30.129839999999994</v>
      </c>
      <c r="O461" s="22" t="s">
        <v>265</v>
      </c>
      <c r="P461" s="19" t="s">
        <v>265</v>
      </c>
      <c r="Q461" s="50"/>
    </row>
    <row r="462" spans="1:17">
      <c r="A462" s="19"/>
      <c r="B462" s="29"/>
      <c r="C462" s="29"/>
      <c r="D462" s="19"/>
      <c r="E462" s="22"/>
      <c r="F462" s="22"/>
      <c r="G462" s="22"/>
      <c r="H462" s="19"/>
      <c r="I462" s="19" t="s">
        <v>1529</v>
      </c>
      <c r="J462" s="22">
        <v>25.927</v>
      </c>
      <c r="K462" s="22" t="s">
        <v>532</v>
      </c>
      <c r="L462" s="22">
        <v>93.6</v>
      </c>
      <c r="M462" s="22" t="s">
        <v>532</v>
      </c>
      <c r="N462" s="22">
        <f t="shared" si="40"/>
        <v>24.267671999999997</v>
      </c>
      <c r="O462" s="22" t="s">
        <v>532</v>
      </c>
      <c r="P462" s="19" t="s">
        <v>532</v>
      </c>
      <c r="Q462" s="50"/>
    </row>
    <row r="463" spans="1:17">
      <c r="A463" s="19"/>
      <c r="B463" s="29"/>
      <c r="C463" s="29"/>
      <c r="D463" s="19"/>
      <c r="E463" s="22"/>
      <c r="F463" s="22"/>
      <c r="G463" s="22"/>
      <c r="H463" s="19"/>
      <c r="I463" s="19" t="s">
        <v>1530</v>
      </c>
      <c r="J463" s="22">
        <v>23.757999999999999</v>
      </c>
      <c r="K463" s="22" t="s">
        <v>532</v>
      </c>
      <c r="L463" s="22">
        <v>93.6</v>
      </c>
      <c r="M463" s="22" t="s">
        <v>532</v>
      </c>
      <c r="N463" s="22">
        <f t="shared" si="40"/>
        <v>22.237487999999999</v>
      </c>
      <c r="O463" s="22" t="s">
        <v>532</v>
      </c>
      <c r="P463" s="19" t="s">
        <v>532</v>
      </c>
      <c r="Q463" s="50"/>
    </row>
    <row r="464" spans="1:17" ht="16" thickBot="1">
      <c r="A464" s="19"/>
      <c r="B464" s="29"/>
      <c r="C464" s="29"/>
      <c r="D464" s="19"/>
      <c r="E464" s="22"/>
      <c r="F464" s="22"/>
      <c r="G464" s="22"/>
      <c r="H464" s="19"/>
      <c r="I464" s="38" t="s">
        <v>1460</v>
      </c>
      <c r="J464" s="45">
        <v>496</v>
      </c>
      <c r="K464" s="75" t="s">
        <v>532</v>
      </c>
      <c r="L464" s="45">
        <v>41.8</v>
      </c>
      <c r="M464" s="75" t="s">
        <v>532</v>
      </c>
      <c r="N464" s="45">
        <f t="shared" si="40"/>
        <v>207.328</v>
      </c>
      <c r="O464" s="75" t="s">
        <v>532</v>
      </c>
      <c r="P464" s="28" t="s">
        <v>532</v>
      </c>
      <c r="Q464" s="50"/>
    </row>
    <row r="465" spans="1:17" ht="15">
      <c r="I465" s="47" t="s">
        <v>1164</v>
      </c>
      <c r="J465" s="51">
        <f t="shared" ref="J465:J471" si="41">ROUND(AVERAGE(J430,J437,J444,J451,J458),1)</f>
        <v>94.9</v>
      </c>
      <c r="K465" s="51" t="s">
        <v>1344</v>
      </c>
      <c r="L465" s="51">
        <f t="shared" ref="L465:L471" si="42">ROUND(AVERAGE(L430,L437,L444,L451,L458),1)</f>
        <v>37.9</v>
      </c>
      <c r="M465" s="51">
        <f t="shared" ref="M465:M471" si="43">ROUND(STDEV(L430,L437,L444,L451,L458),1)</f>
        <v>26.2</v>
      </c>
      <c r="N465" s="51">
        <f t="shared" ref="N465:N471" si="44">ROUND(AVERAGE(N430,N437,N444,N451,N458),1)</f>
        <v>36</v>
      </c>
      <c r="O465" s="52">
        <f t="shared" ref="O465:O471" si="45">ROUND(STDEV(N430,N437,N444,N451,N458),1)</f>
        <v>24.9</v>
      </c>
    </row>
    <row r="466" spans="1:17" ht="15">
      <c r="I466" s="48" t="s">
        <v>1345</v>
      </c>
      <c r="J466" s="53">
        <f t="shared" si="41"/>
        <v>203</v>
      </c>
      <c r="K466" s="53" t="s">
        <v>1344</v>
      </c>
      <c r="L466" s="53">
        <f t="shared" si="42"/>
        <v>18</v>
      </c>
      <c r="M466" s="53">
        <f t="shared" si="43"/>
        <v>13.8</v>
      </c>
      <c r="N466" s="53">
        <f t="shared" si="44"/>
        <v>36.5</v>
      </c>
      <c r="O466" s="54">
        <f t="shared" si="45"/>
        <v>28.1</v>
      </c>
    </row>
    <row r="467" spans="1:17" ht="15">
      <c r="I467" s="48" t="s">
        <v>1643</v>
      </c>
      <c r="J467" s="53">
        <f t="shared" si="41"/>
        <v>116.4</v>
      </c>
      <c r="K467" s="53" t="s">
        <v>1344</v>
      </c>
      <c r="L467" s="53">
        <f t="shared" si="42"/>
        <v>37.9</v>
      </c>
      <c r="M467" s="53">
        <f t="shared" si="43"/>
        <v>26.2</v>
      </c>
      <c r="N467" s="53">
        <f t="shared" si="44"/>
        <v>44.2</v>
      </c>
      <c r="O467" s="54">
        <f t="shared" si="45"/>
        <v>30.5</v>
      </c>
    </row>
    <row r="468" spans="1:17" ht="15">
      <c r="I468" s="48" t="s">
        <v>1340</v>
      </c>
      <c r="J468" s="53">
        <f t="shared" si="41"/>
        <v>32.200000000000003</v>
      </c>
      <c r="K468" s="53" t="s">
        <v>1344</v>
      </c>
      <c r="L468" s="53">
        <f t="shared" si="42"/>
        <v>90.1</v>
      </c>
      <c r="M468" s="53">
        <f t="shared" si="43"/>
        <v>6.3</v>
      </c>
      <c r="N468" s="53">
        <f t="shared" si="44"/>
        <v>29</v>
      </c>
      <c r="O468" s="54">
        <f t="shared" si="45"/>
        <v>2</v>
      </c>
    </row>
    <row r="469" spans="1:17" ht="15">
      <c r="I469" s="48" t="s">
        <v>1635</v>
      </c>
      <c r="J469" s="53">
        <f t="shared" si="41"/>
        <v>25.9</v>
      </c>
      <c r="K469" s="53" t="s">
        <v>1344</v>
      </c>
      <c r="L469" s="53">
        <f t="shared" si="42"/>
        <v>92.3</v>
      </c>
      <c r="M469" s="53">
        <f t="shared" si="43"/>
        <v>4.7</v>
      </c>
      <c r="N469" s="53">
        <f t="shared" si="44"/>
        <v>23.9</v>
      </c>
      <c r="O469" s="54">
        <f t="shared" si="45"/>
        <v>1.2</v>
      </c>
    </row>
    <row r="470" spans="1:17" ht="15">
      <c r="I470" s="48" t="s">
        <v>544</v>
      </c>
      <c r="J470" s="53">
        <f t="shared" si="41"/>
        <v>23.8</v>
      </c>
      <c r="K470" s="53" t="s">
        <v>1344</v>
      </c>
      <c r="L470" s="53">
        <f t="shared" si="42"/>
        <v>92.3</v>
      </c>
      <c r="M470" s="53">
        <f t="shared" si="43"/>
        <v>4.7</v>
      </c>
      <c r="N470" s="53">
        <f t="shared" si="44"/>
        <v>21.9</v>
      </c>
      <c r="O470" s="54">
        <f t="shared" si="45"/>
        <v>1.1000000000000001</v>
      </c>
    </row>
    <row r="471" spans="1:17" ht="16" thickBot="1">
      <c r="I471" s="49" t="s">
        <v>485</v>
      </c>
      <c r="J471" s="55">
        <f t="shared" si="41"/>
        <v>496</v>
      </c>
      <c r="K471" s="55" t="s">
        <v>1344</v>
      </c>
      <c r="L471" s="55">
        <f t="shared" si="42"/>
        <v>38.6</v>
      </c>
      <c r="M471" s="55">
        <f t="shared" si="43"/>
        <v>17.5</v>
      </c>
      <c r="N471" s="55">
        <f t="shared" si="44"/>
        <v>191.5</v>
      </c>
      <c r="O471" s="56">
        <f t="shared" si="45"/>
        <v>87</v>
      </c>
    </row>
    <row r="472" spans="1:17" s="58" customFormat="1" ht="15">
      <c r="A472" s="3"/>
      <c r="B472" s="5"/>
      <c r="C472" s="5"/>
      <c r="D472" s="3"/>
      <c r="E472" s="74"/>
      <c r="F472" s="74"/>
      <c r="G472" s="74"/>
      <c r="H472" s="3"/>
      <c r="I472" s="140"/>
      <c r="J472" s="145"/>
      <c r="K472" s="145"/>
      <c r="L472" s="145"/>
      <c r="M472" s="145"/>
      <c r="N472" s="145"/>
      <c r="O472" s="145"/>
      <c r="P472" s="57"/>
      <c r="Q472" s="73"/>
    </row>
    <row r="473" spans="1:17" s="58" customFormat="1" ht="15">
      <c r="A473" s="293"/>
      <c r="B473" s="297"/>
      <c r="C473" s="297"/>
      <c r="D473" s="293"/>
      <c r="E473" s="292"/>
      <c r="F473" s="292"/>
      <c r="G473" s="292"/>
      <c r="H473" s="293"/>
      <c r="I473" s="293"/>
      <c r="J473" s="292"/>
      <c r="K473" s="292"/>
      <c r="L473" s="292"/>
      <c r="M473" s="292"/>
      <c r="N473" s="292"/>
      <c r="O473" s="292"/>
      <c r="P473" s="348"/>
      <c r="Q473" s="73"/>
    </row>
    <row r="474" spans="1:17" s="58" customFormat="1" ht="16" thickBot="1">
      <c r="A474" s="3"/>
      <c r="B474" s="5"/>
      <c r="C474" s="5"/>
      <c r="D474" s="3"/>
      <c r="E474" s="74"/>
      <c r="F474" s="74"/>
      <c r="G474" s="74"/>
      <c r="H474" s="3"/>
      <c r="I474" s="140"/>
      <c r="J474" s="145"/>
      <c r="K474" s="145"/>
      <c r="L474" s="145"/>
      <c r="M474" s="145"/>
      <c r="N474" s="145"/>
      <c r="O474" s="145"/>
      <c r="P474" s="57"/>
      <c r="Q474" s="73"/>
    </row>
    <row r="475" spans="1:17" ht="15">
      <c r="A475" s="19" t="s">
        <v>390</v>
      </c>
      <c r="B475" s="29" t="s">
        <v>1409</v>
      </c>
      <c r="C475" s="29" t="s">
        <v>1410</v>
      </c>
      <c r="D475" s="19" t="s">
        <v>1302</v>
      </c>
      <c r="E475" s="22">
        <v>2004</v>
      </c>
      <c r="F475" s="24" t="s">
        <v>1303</v>
      </c>
      <c r="G475" s="24" t="s">
        <v>1300</v>
      </c>
      <c r="H475" s="27" t="s">
        <v>1363</v>
      </c>
      <c r="I475" s="47" t="s">
        <v>1518</v>
      </c>
      <c r="J475" s="51">
        <f>ROUND(306*0.191,1)</f>
        <v>58.4</v>
      </c>
      <c r="K475" s="51" t="s">
        <v>1046</v>
      </c>
      <c r="L475" s="51">
        <v>16.899999999999999</v>
      </c>
      <c r="M475" s="51" t="s">
        <v>253</v>
      </c>
      <c r="N475" s="51">
        <f t="shared" ref="N475:N481" si="46">ROUND(J475*(L475/100),1)</f>
        <v>9.9</v>
      </c>
      <c r="O475" s="52" t="s">
        <v>1046</v>
      </c>
      <c r="P475" s="30" t="s">
        <v>1301</v>
      </c>
      <c r="Q475" s="50"/>
    </row>
    <row r="476" spans="1:17" ht="15">
      <c r="A476" s="19"/>
      <c r="B476" s="29"/>
      <c r="C476" s="29"/>
      <c r="D476" s="19"/>
      <c r="E476" s="22"/>
      <c r="F476" s="24"/>
      <c r="G476" s="24"/>
      <c r="H476" s="27"/>
      <c r="I476" s="48" t="s">
        <v>1591</v>
      </c>
      <c r="J476" s="53">
        <f>ROUND(306*0.409,1)</f>
        <v>125.2</v>
      </c>
      <c r="K476" s="53" t="s">
        <v>1046</v>
      </c>
      <c r="L476" s="53">
        <v>4.82</v>
      </c>
      <c r="M476" s="53" t="s">
        <v>986</v>
      </c>
      <c r="N476" s="53">
        <f t="shared" si="46"/>
        <v>6</v>
      </c>
      <c r="O476" s="54" t="s">
        <v>1046</v>
      </c>
      <c r="P476" s="30" t="s">
        <v>1301</v>
      </c>
      <c r="Q476" s="50"/>
    </row>
    <row r="477" spans="1:17" ht="15">
      <c r="A477" s="19"/>
      <c r="B477" s="29"/>
      <c r="C477" s="29"/>
      <c r="D477" s="19"/>
      <c r="E477" s="22"/>
      <c r="F477" s="24"/>
      <c r="G477" s="24"/>
      <c r="H477" s="27"/>
      <c r="I477" s="48" t="s">
        <v>1592</v>
      </c>
      <c r="J477" s="53">
        <f>ROUND(306*0.235,1)</f>
        <v>71.900000000000006</v>
      </c>
      <c r="K477" s="53" t="s">
        <v>1593</v>
      </c>
      <c r="L477" s="53">
        <v>16.899999999999999</v>
      </c>
      <c r="M477" s="53" t="s">
        <v>1593</v>
      </c>
      <c r="N477" s="53">
        <f t="shared" si="46"/>
        <v>12.2</v>
      </c>
      <c r="O477" s="54" t="s">
        <v>1593</v>
      </c>
      <c r="P477" s="30" t="s">
        <v>1301</v>
      </c>
      <c r="Q477" s="50"/>
    </row>
    <row r="478" spans="1:17" ht="15">
      <c r="A478" s="19"/>
      <c r="B478" s="29"/>
      <c r="C478" s="29"/>
      <c r="D478" s="19"/>
      <c r="E478" s="22"/>
      <c r="F478" s="24"/>
      <c r="G478" s="24"/>
      <c r="H478" s="27"/>
      <c r="I478" s="48" t="s">
        <v>1340</v>
      </c>
      <c r="J478" s="53">
        <f>ROUND(306*0.065,1)</f>
        <v>19.899999999999999</v>
      </c>
      <c r="K478" s="53" t="s">
        <v>1593</v>
      </c>
      <c r="L478" s="53">
        <v>88.6</v>
      </c>
      <c r="M478" s="53" t="s">
        <v>1593</v>
      </c>
      <c r="N478" s="53">
        <f t="shared" si="46"/>
        <v>17.600000000000001</v>
      </c>
      <c r="O478" s="54" t="s">
        <v>986</v>
      </c>
      <c r="P478" s="30" t="s">
        <v>1301</v>
      </c>
      <c r="Q478" s="50"/>
    </row>
    <row r="479" spans="1:17" ht="15">
      <c r="A479" s="19"/>
      <c r="B479" s="29"/>
      <c r="C479" s="29"/>
      <c r="D479" s="19"/>
      <c r="E479" s="22"/>
      <c r="F479" s="24"/>
      <c r="G479" s="24"/>
      <c r="H479" s="27"/>
      <c r="I479" s="48" t="s">
        <v>1635</v>
      </c>
      <c r="J479" s="53">
        <v>15.9</v>
      </c>
      <c r="K479" s="53" t="s">
        <v>986</v>
      </c>
      <c r="L479" s="53">
        <v>88.6</v>
      </c>
      <c r="M479" s="53" t="s">
        <v>986</v>
      </c>
      <c r="N479" s="53">
        <f t="shared" si="46"/>
        <v>14.1</v>
      </c>
      <c r="O479" s="54" t="s">
        <v>986</v>
      </c>
      <c r="P479" s="30" t="s">
        <v>1301</v>
      </c>
      <c r="Q479" s="50"/>
    </row>
    <row r="480" spans="1:17" ht="15">
      <c r="A480" s="19"/>
      <c r="B480" s="29"/>
      <c r="C480" s="29"/>
      <c r="D480" s="19"/>
      <c r="E480" s="22"/>
      <c r="F480" s="24"/>
      <c r="G480" s="24"/>
      <c r="H480" s="27"/>
      <c r="I480" s="48" t="s">
        <v>544</v>
      </c>
      <c r="J480" s="53">
        <v>14.7</v>
      </c>
      <c r="K480" s="53" t="s">
        <v>986</v>
      </c>
      <c r="L480" s="53">
        <v>88.6</v>
      </c>
      <c r="M480" s="53" t="s">
        <v>986</v>
      </c>
      <c r="N480" s="53">
        <f t="shared" si="46"/>
        <v>13</v>
      </c>
      <c r="O480" s="54" t="s">
        <v>986</v>
      </c>
      <c r="P480" s="30" t="s">
        <v>1301</v>
      </c>
      <c r="Q480" s="50"/>
    </row>
    <row r="481" spans="1:17" ht="16" thickBot="1">
      <c r="A481" s="19"/>
      <c r="B481" s="29"/>
      <c r="C481" s="29"/>
      <c r="D481" s="19"/>
      <c r="E481" s="22"/>
      <c r="F481" s="24"/>
      <c r="G481" s="24"/>
      <c r="H481" s="27"/>
      <c r="I481" s="49" t="s">
        <v>1295</v>
      </c>
      <c r="J481" s="55">
        <v>306</v>
      </c>
      <c r="K481" s="55" t="s">
        <v>1046</v>
      </c>
      <c r="L481" s="55">
        <v>23.8</v>
      </c>
      <c r="M481" s="55" t="s">
        <v>986</v>
      </c>
      <c r="N481" s="55">
        <f t="shared" si="46"/>
        <v>72.8</v>
      </c>
      <c r="O481" s="56" t="s">
        <v>1046</v>
      </c>
      <c r="P481" s="30" t="s">
        <v>1301</v>
      </c>
      <c r="Q481" s="50"/>
    </row>
    <row r="482" spans="1:17" s="58" customFormat="1">
      <c r="A482" s="3"/>
      <c r="B482" s="5"/>
      <c r="C482" s="5"/>
      <c r="D482" s="3"/>
      <c r="E482" s="74"/>
      <c r="F482" s="420"/>
      <c r="G482" s="420"/>
      <c r="H482" s="3"/>
      <c r="I482" s="3"/>
      <c r="J482" s="74"/>
      <c r="K482" s="74"/>
      <c r="L482" s="74"/>
      <c r="M482" s="74"/>
      <c r="N482" s="74"/>
      <c r="O482" s="74"/>
      <c r="P482" s="3"/>
      <c r="Q482" s="73"/>
    </row>
    <row r="483" spans="1:17" s="58" customFormat="1">
      <c r="A483" s="293"/>
      <c r="B483" s="297"/>
      <c r="C483" s="297"/>
      <c r="D483" s="293"/>
      <c r="E483" s="292"/>
      <c r="F483" s="421"/>
      <c r="G483" s="421"/>
      <c r="H483" s="293"/>
      <c r="I483" s="293"/>
      <c r="J483" s="292"/>
      <c r="K483" s="292"/>
      <c r="L483" s="292"/>
      <c r="M483" s="292"/>
      <c r="N483" s="292"/>
      <c r="O483" s="292"/>
      <c r="P483" s="293"/>
      <c r="Q483" s="73"/>
    </row>
    <row r="484" spans="1:17" s="58" customFormat="1" ht="14" thickBot="1">
      <c r="A484" s="3"/>
      <c r="B484" s="5"/>
      <c r="C484" s="5"/>
      <c r="D484" s="3"/>
      <c r="E484" s="74"/>
      <c r="F484" s="74"/>
      <c r="G484" s="74"/>
      <c r="H484" s="3"/>
      <c r="I484" s="3"/>
      <c r="J484" s="74"/>
      <c r="K484" s="74"/>
      <c r="L484" s="74"/>
      <c r="M484" s="74"/>
      <c r="N484" s="74"/>
      <c r="O484" s="74"/>
      <c r="P484" s="3"/>
      <c r="Q484" s="73"/>
    </row>
    <row r="485" spans="1:17" ht="15">
      <c r="A485" s="19" t="s">
        <v>1760</v>
      </c>
      <c r="B485" s="29" t="s">
        <v>1761</v>
      </c>
      <c r="C485" s="29" t="s">
        <v>1762</v>
      </c>
      <c r="D485" s="19" t="s">
        <v>1468</v>
      </c>
      <c r="E485" s="22">
        <v>2007</v>
      </c>
      <c r="F485" s="22">
        <v>12</v>
      </c>
      <c r="G485" s="22" t="s">
        <v>1046</v>
      </c>
      <c r="H485" s="27" t="s">
        <v>1363</v>
      </c>
      <c r="I485" s="47" t="s">
        <v>1469</v>
      </c>
      <c r="J485" s="51">
        <v>38.479999999999997</v>
      </c>
      <c r="K485" s="51">
        <v>19.420000000000002</v>
      </c>
      <c r="L485" s="51">
        <f>ROUND((N485/J485)*100,1)</f>
        <v>96.8</v>
      </c>
      <c r="M485" s="51" t="s">
        <v>1046</v>
      </c>
      <c r="N485" s="51">
        <f>J485-1.23</f>
        <v>37.25</v>
      </c>
      <c r="O485" s="52" t="s">
        <v>1046</v>
      </c>
      <c r="P485" s="30" t="s">
        <v>120</v>
      </c>
      <c r="Q485" s="50"/>
    </row>
    <row r="486" spans="1:17" ht="15">
      <c r="A486" s="19"/>
      <c r="B486" s="29"/>
      <c r="C486" s="29"/>
      <c r="D486" s="19"/>
      <c r="E486" s="22"/>
      <c r="F486" s="22"/>
      <c r="G486" s="22"/>
      <c r="H486" s="27"/>
      <c r="I486" s="48" t="s">
        <v>1471</v>
      </c>
      <c r="J486" s="53">
        <v>24.37</v>
      </c>
      <c r="K486" s="53">
        <v>12.71</v>
      </c>
      <c r="L486" s="53">
        <f>ROUND((N486/J486)*100,1)</f>
        <v>83.9</v>
      </c>
      <c r="M486" s="53" t="s">
        <v>1512</v>
      </c>
      <c r="N486" s="53">
        <f>J486-3.93</f>
        <v>20.440000000000001</v>
      </c>
      <c r="O486" s="54" t="s">
        <v>1512</v>
      </c>
      <c r="P486" s="30" t="s">
        <v>120</v>
      </c>
      <c r="Q486" s="50"/>
    </row>
    <row r="487" spans="1:17" ht="15">
      <c r="A487" s="19"/>
      <c r="B487" s="29"/>
      <c r="C487" s="29"/>
      <c r="D487" s="19"/>
      <c r="E487" s="22"/>
      <c r="F487" s="22"/>
      <c r="G487" s="22"/>
      <c r="H487" s="27"/>
      <c r="I487" s="48" t="s">
        <v>912</v>
      </c>
      <c r="J487" s="53">
        <v>128.71</v>
      </c>
      <c r="K487" s="53">
        <v>120.29</v>
      </c>
      <c r="L487" s="53">
        <f>ROUND((N487/J487)*100,1)</f>
        <v>54.1</v>
      </c>
      <c r="M487" s="53" t="s">
        <v>1512</v>
      </c>
      <c r="N487" s="53">
        <f>J487-59.1</f>
        <v>69.610000000000014</v>
      </c>
      <c r="O487" s="54" t="s">
        <v>1512</v>
      </c>
      <c r="P487" s="30" t="s">
        <v>120</v>
      </c>
      <c r="Q487" s="50"/>
    </row>
    <row r="488" spans="1:17" ht="15">
      <c r="A488" s="19"/>
      <c r="B488" s="29"/>
      <c r="C488" s="29"/>
      <c r="D488" s="19"/>
      <c r="E488" s="22"/>
      <c r="F488" s="22"/>
      <c r="G488" s="22"/>
      <c r="H488" s="27"/>
      <c r="I488" s="48" t="s">
        <v>1353</v>
      </c>
      <c r="J488" s="53">
        <v>1.1000000000000001</v>
      </c>
      <c r="K488" s="53">
        <v>1.76</v>
      </c>
      <c r="L488" s="53" t="s">
        <v>1398</v>
      </c>
      <c r="M488" s="53" t="s">
        <v>1512</v>
      </c>
      <c r="N488" s="53" t="s">
        <v>1512</v>
      </c>
      <c r="O488" s="54" t="s">
        <v>1512</v>
      </c>
      <c r="P488" s="30" t="s">
        <v>120</v>
      </c>
      <c r="Q488" s="50"/>
    </row>
    <row r="489" spans="1:17" ht="15">
      <c r="A489" s="19"/>
      <c r="B489" s="29"/>
      <c r="C489" s="29"/>
      <c r="D489" s="19"/>
      <c r="E489" s="22"/>
      <c r="F489" s="22"/>
      <c r="G489" s="22"/>
      <c r="H489" s="27"/>
      <c r="I489" s="48" t="s">
        <v>1333</v>
      </c>
      <c r="J489" s="53">
        <v>1.03</v>
      </c>
      <c r="K489" s="53">
        <v>4.54</v>
      </c>
      <c r="L489" s="53" t="s">
        <v>1398</v>
      </c>
      <c r="M489" s="53" t="s">
        <v>1512</v>
      </c>
      <c r="N489" s="53" t="s">
        <v>1512</v>
      </c>
      <c r="O489" s="54" t="s">
        <v>1512</v>
      </c>
      <c r="P489" s="30" t="s">
        <v>120</v>
      </c>
      <c r="Q489" s="50"/>
    </row>
    <row r="490" spans="1:17" ht="15">
      <c r="A490" s="19"/>
      <c r="B490" s="29"/>
      <c r="C490" s="29"/>
      <c r="D490" s="19"/>
      <c r="E490" s="22"/>
      <c r="F490" s="22"/>
      <c r="G490" s="22"/>
      <c r="H490" s="27"/>
      <c r="I490" s="48" t="s">
        <v>1472</v>
      </c>
      <c r="J490" s="53">
        <v>25.63</v>
      </c>
      <c r="K490" s="53">
        <v>7.7</v>
      </c>
      <c r="L490" s="53">
        <f>ROUND((N490/J490)*100,1)</f>
        <v>99.5</v>
      </c>
      <c r="M490" s="53" t="s">
        <v>1046</v>
      </c>
      <c r="N490" s="53">
        <f>J490-0.13</f>
        <v>25.5</v>
      </c>
      <c r="O490" s="54" t="s">
        <v>1046</v>
      </c>
      <c r="P490" s="30" t="s">
        <v>120</v>
      </c>
      <c r="Q490" s="50"/>
    </row>
    <row r="491" spans="1:17" ht="16" thickBot="1">
      <c r="A491" s="19"/>
      <c r="B491" s="29"/>
      <c r="C491" s="29"/>
      <c r="D491" s="19"/>
      <c r="E491" s="22"/>
      <c r="F491" s="22"/>
      <c r="G491" s="22"/>
      <c r="H491" s="27"/>
      <c r="I491" s="49" t="s">
        <v>485</v>
      </c>
      <c r="J491" s="55">
        <v>219</v>
      </c>
      <c r="K491" s="55" t="s">
        <v>1512</v>
      </c>
      <c r="L491" s="55">
        <f>ROUND((N491/J491)*100,1)</f>
        <v>70.599999999999994</v>
      </c>
      <c r="M491" s="55" t="s">
        <v>1046</v>
      </c>
      <c r="N491" s="55">
        <f>J491-64.41</f>
        <v>154.59</v>
      </c>
      <c r="O491" s="56" t="s">
        <v>1046</v>
      </c>
      <c r="P491" s="30" t="s">
        <v>120</v>
      </c>
      <c r="Q491" s="50"/>
    </row>
    <row r="492" spans="1:17" s="58" customFormat="1">
      <c r="A492" s="3"/>
      <c r="B492" s="5"/>
      <c r="C492" s="5"/>
      <c r="D492" s="3"/>
      <c r="E492" s="74"/>
      <c r="F492" s="74"/>
      <c r="G492" s="74"/>
      <c r="H492" s="3"/>
      <c r="I492" s="3"/>
      <c r="J492" s="74"/>
      <c r="K492" s="74"/>
      <c r="L492" s="74"/>
      <c r="M492" s="74"/>
      <c r="N492" s="74"/>
      <c r="O492" s="74"/>
      <c r="P492" s="3"/>
      <c r="Q492" s="73"/>
    </row>
    <row r="493" spans="1:17" s="58" customFormat="1">
      <c r="A493" s="293"/>
      <c r="B493" s="297"/>
      <c r="C493" s="297"/>
      <c r="D493" s="293"/>
      <c r="E493" s="292"/>
      <c r="F493" s="292"/>
      <c r="G493" s="292"/>
      <c r="H493" s="293"/>
      <c r="I493" s="293"/>
      <c r="J493" s="292"/>
      <c r="K493" s="292"/>
      <c r="L493" s="292"/>
      <c r="M493" s="292"/>
      <c r="N493" s="292"/>
      <c r="O493" s="292"/>
      <c r="P493" s="293"/>
      <c r="Q493" s="73"/>
    </row>
    <row r="494" spans="1:17" s="58" customFormat="1" ht="14" thickBot="1">
      <c r="A494" s="3"/>
      <c r="B494" s="5"/>
      <c r="C494" s="5"/>
      <c r="D494" s="3"/>
      <c r="E494" s="74"/>
      <c r="F494" s="74"/>
      <c r="G494" s="74"/>
      <c r="H494" s="3"/>
      <c r="I494" s="3"/>
      <c r="J494" s="74"/>
      <c r="K494" s="74"/>
      <c r="L494" s="74"/>
      <c r="M494" s="74"/>
      <c r="N494" s="74"/>
      <c r="O494" s="74"/>
      <c r="P494" s="3"/>
      <c r="Q494" s="73"/>
    </row>
    <row r="495" spans="1:17" s="26" customFormat="1" ht="15">
      <c r="A495" s="19" t="s">
        <v>1558</v>
      </c>
      <c r="B495" s="29" t="s">
        <v>1559</v>
      </c>
      <c r="C495" s="29" t="s">
        <v>1560</v>
      </c>
      <c r="D495" s="19" t="s">
        <v>1561</v>
      </c>
      <c r="E495" s="22">
        <v>2010</v>
      </c>
      <c r="F495" s="22">
        <v>9</v>
      </c>
      <c r="G495" s="22" t="s">
        <v>986</v>
      </c>
      <c r="H495" s="27" t="s">
        <v>1363</v>
      </c>
      <c r="I495" s="47" t="s">
        <v>1562</v>
      </c>
      <c r="J495" s="51">
        <v>113.1</v>
      </c>
      <c r="K495" s="51" t="s">
        <v>986</v>
      </c>
      <c r="L495" s="51">
        <v>42.35</v>
      </c>
      <c r="M495" s="51" t="s">
        <v>986</v>
      </c>
      <c r="N495" s="51">
        <f>ROUND(J495*(L495/100),1)</f>
        <v>47.9</v>
      </c>
      <c r="O495" s="52" t="s">
        <v>986</v>
      </c>
      <c r="P495" s="30" t="s">
        <v>1563</v>
      </c>
      <c r="Q495" s="140"/>
    </row>
    <row r="496" spans="1:17" s="26" customFormat="1" ht="15">
      <c r="A496" s="19"/>
      <c r="B496" s="29"/>
      <c r="C496" s="29"/>
      <c r="D496" s="19"/>
      <c r="E496" s="22"/>
      <c r="F496" s="22"/>
      <c r="G496" s="22"/>
      <c r="H496" s="27"/>
      <c r="I496" s="48" t="s">
        <v>1519</v>
      </c>
      <c r="J496" s="53">
        <v>241.9</v>
      </c>
      <c r="K496" s="53" t="s">
        <v>986</v>
      </c>
      <c r="L496" s="53">
        <v>16.57</v>
      </c>
      <c r="M496" s="53" t="s">
        <v>986</v>
      </c>
      <c r="N496" s="53">
        <f>ROUND(J496*(L496/100),1)</f>
        <v>40.1</v>
      </c>
      <c r="O496" s="54" t="s">
        <v>986</v>
      </c>
      <c r="P496" s="30" t="s">
        <v>1563</v>
      </c>
      <c r="Q496" s="140"/>
    </row>
    <row r="497" spans="1:17" s="26" customFormat="1" ht="15">
      <c r="A497" s="19"/>
      <c r="B497" s="29"/>
      <c r="C497" s="29"/>
      <c r="D497" s="19"/>
      <c r="E497" s="22"/>
      <c r="F497" s="22"/>
      <c r="G497" s="22"/>
      <c r="H497" s="27"/>
      <c r="I497" s="48" t="s">
        <v>1592</v>
      </c>
      <c r="J497" s="53">
        <v>139.30000000000001</v>
      </c>
      <c r="K497" s="53" t="s">
        <v>986</v>
      </c>
      <c r="L497" s="53">
        <v>42.35</v>
      </c>
      <c r="M497" s="53" t="s">
        <v>986</v>
      </c>
      <c r="N497" s="53">
        <f>ROUND(J497*(L497/100),1)</f>
        <v>59</v>
      </c>
      <c r="O497" s="54" t="s">
        <v>986</v>
      </c>
      <c r="P497" s="30" t="s">
        <v>1563</v>
      </c>
      <c r="Q497" s="140"/>
    </row>
    <row r="498" spans="1:17" s="26" customFormat="1" ht="15">
      <c r="A498" s="19"/>
      <c r="B498" s="29"/>
      <c r="C498" s="29"/>
      <c r="D498" s="19"/>
      <c r="E498" s="22"/>
      <c r="F498" s="22"/>
      <c r="G498" s="22"/>
      <c r="H498" s="27"/>
      <c r="I498" s="48" t="s">
        <v>1564</v>
      </c>
      <c r="J498" s="53">
        <v>88.6</v>
      </c>
      <c r="K498" s="53" t="s">
        <v>986</v>
      </c>
      <c r="L498" s="53">
        <v>89.16</v>
      </c>
      <c r="M498" s="53" t="s">
        <v>986</v>
      </c>
      <c r="N498" s="53">
        <f>ROUND(J498*(L498/100),1)</f>
        <v>79</v>
      </c>
      <c r="O498" s="54" t="s">
        <v>986</v>
      </c>
      <c r="P498" s="30" t="s">
        <v>1563</v>
      </c>
      <c r="Q498" s="140"/>
    </row>
    <row r="499" spans="1:17" s="26" customFormat="1" ht="16" thickBot="1">
      <c r="A499" s="19"/>
      <c r="B499" s="29"/>
      <c r="C499" s="29"/>
      <c r="D499" s="19"/>
      <c r="E499" s="22"/>
      <c r="F499" s="22"/>
      <c r="G499" s="22"/>
      <c r="H499" s="27"/>
      <c r="I499" s="49" t="s">
        <v>485</v>
      </c>
      <c r="J499" s="55">
        <v>583</v>
      </c>
      <c r="K499" s="55" t="s">
        <v>986</v>
      </c>
      <c r="L499" s="55">
        <v>38.799999999999997</v>
      </c>
      <c r="M499" s="55" t="s">
        <v>986</v>
      </c>
      <c r="N499" s="55">
        <f>ROUND(J499*(L499/100),1)</f>
        <v>226.2</v>
      </c>
      <c r="O499" s="56" t="s">
        <v>986</v>
      </c>
      <c r="P499" s="30" t="s">
        <v>1563</v>
      </c>
      <c r="Q499" s="140"/>
    </row>
    <row r="500" spans="1:17" s="1" customFormat="1">
      <c r="A500" s="3"/>
      <c r="B500" s="5"/>
      <c r="C500" s="5"/>
      <c r="D500" s="3"/>
      <c r="E500" s="74"/>
      <c r="F500" s="74"/>
      <c r="G500" s="74"/>
      <c r="H500" s="3"/>
      <c r="I500" s="3"/>
      <c r="J500" s="74"/>
      <c r="K500" s="74"/>
      <c r="L500" s="74"/>
      <c r="M500" s="74"/>
      <c r="N500" s="74"/>
      <c r="O500" s="74"/>
      <c r="P500" s="3"/>
      <c r="Q500" s="3"/>
    </row>
    <row r="501" spans="1:17">
      <c r="A501" s="296"/>
      <c r="B501" s="296"/>
      <c r="C501" s="296"/>
      <c r="D501" s="296"/>
      <c r="E501" s="301"/>
      <c r="F501" s="301"/>
      <c r="G501" s="301"/>
      <c r="H501" s="296"/>
      <c r="I501" s="300"/>
      <c r="J501" s="301"/>
      <c r="K501" s="301"/>
      <c r="L501" s="301"/>
      <c r="M501" s="301"/>
      <c r="N501" s="301"/>
      <c r="O501" s="301"/>
      <c r="P501" s="296"/>
    </row>
    <row r="502" spans="1:17" ht="14" thickBot="1"/>
    <row r="503" spans="1:17" s="26" customFormat="1" ht="14" thickBot="1">
      <c r="A503" s="19" t="s">
        <v>1304</v>
      </c>
      <c r="B503" s="29" t="s">
        <v>1305</v>
      </c>
      <c r="C503" s="29" t="s">
        <v>1327</v>
      </c>
      <c r="D503" s="19" t="s">
        <v>1705</v>
      </c>
      <c r="E503" s="22" t="s">
        <v>1606</v>
      </c>
      <c r="F503" s="22" t="s">
        <v>986</v>
      </c>
      <c r="G503" s="24" t="s">
        <v>986</v>
      </c>
      <c r="H503" s="27" t="s">
        <v>554</v>
      </c>
      <c r="I503" s="90" t="s">
        <v>1099</v>
      </c>
      <c r="J503" s="67">
        <v>403</v>
      </c>
      <c r="K503" s="67" t="s">
        <v>253</v>
      </c>
      <c r="L503" s="67">
        <v>95</v>
      </c>
      <c r="M503" s="67" t="s">
        <v>253</v>
      </c>
      <c r="N503" s="67">
        <v>380</v>
      </c>
      <c r="O503" s="68" t="s">
        <v>253</v>
      </c>
      <c r="P503" s="30" t="s">
        <v>1607</v>
      </c>
    </row>
    <row r="504" spans="1:17" s="1" customFormat="1" ht="15">
      <c r="A504" s="3"/>
      <c r="B504" s="5"/>
      <c r="C504" s="5"/>
      <c r="D504" s="3"/>
      <c r="E504" s="74"/>
      <c r="F504" s="74"/>
      <c r="G504" s="422"/>
      <c r="H504" s="3"/>
      <c r="I504" s="276"/>
      <c r="J504" s="277"/>
      <c r="K504" s="277"/>
      <c r="L504" s="277"/>
      <c r="M504" s="277"/>
      <c r="N504" s="277"/>
      <c r="O504" s="278"/>
      <c r="P504" s="3"/>
      <c r="Q504" s="3"/>
    </row>
    <row r="505" spans="1:17" s="1" customFormat="1" ht="15">
      <c r="A505" s="293"/>
      <c r="B505" s="297"/>
      <c r="C505" s="297"/>
      <c r="D505" s="293"/>
      <c r="E505" s="292"/>
      <c r="F505" s="292"/>
      <c r="G505" s="423"/>
      <c r="H505" s="293"/>
      <c r="I505" s="294"/>
      <c r="J505" s="295"/>
      <c r="K505" s="295"/>
      <c r="L505" s="295"/>
      <c r="M505" s="295"/>
      <c r="N505" s="295"/>
      <c r="O505" s="295"/>
      <c r="P505" s="293"/>
      <c r="Q505" s="3"/>
    </row>
    <row r="506" spans="1:17" s="58" customFormat="1">
      <c r="A506" s="3"/>
      <c r="B506" s="5"/>
      <c r="C506" s="5"/>
      <c r="D506" s="3"/>
      <c r="E506" s="74"/>
      <c r="F506" s="74"/>
      <c r="G506" s="74"/>
      <c r="H506" s="3"/>
      <c r="I506" s="3"/>
      <c r="J506" s="74"/>
      <c r="K506" s="74"/>
      <c r="L506" s="74"/>
      <c r="M506" s="74"/>
      <c r="N506" s="74"/>
      <c r="O506" s="74"/>
      <c r="P506" s="3"/>
      <c r="Q506" s="3"/>
    </row>
    <row r="507" spans="1:17" s="1" customFormat="1">
      <c r="A507" s="19" t="s">
        <v>1476</v>
      </c>
      <c r="B507" s="29" t="s">
        <v>1477</v>
      </c>
      <c r="C507" s="29" t="s">
        <v>1579</v>
      </c>
      <c r="D507" s="19" t="s">
        <v>1501</v>
      </c>
      <c r="E507" s="22">
        <v>1993</v>
      </c>
      <c r="F507" s="22">
        <v>4</v>
      </c>
      <c r="G507" s="424" t="s">
        <v>1502</v>
      </c>
      <c r="H507" s="19" t="s">
        <v>554</v>
      </c>
      <c r="I507" s="19" t="s">
        <v>544</v>
      </c>
      <c r="J507" s="22">
        <v>7.4</v>
      </c>
      <c r="K507" s="22">
        <v>0.61</v>
      </c>
      <c r="L507" s="22">
        <v>100</v>
      </c>
      <c r="M507" s="22">
        <v>0</v>
      </c>
      <c r="N507" s="22">
        <f t="shared" ref="N507:N540" si="47">J507*(L507/100)</f>
        <v>7.4</v>
      </c>
      <c r="O507" s="22" t="s">
        <v>986</v>
      </c>
      <c r="P507" s="19" t="s">
        <v>1400</v>
      </c>
      <c r="Q507" s="3"/>
    </row>
    <row r="508" spans="1:17" s="1" customFormat="1">
      <c r="A508" s="19"/>
      <c r="B508" s="29"/>
      <c r="C508" s="29"/>
      <c r="D508" s="19"/>
      <c r="E508" s="22"/>
      <c r="F508" s="22"/>
      <c r="G508" s="424"/>
      <c r="H508" s="19"/>
      <c r="I508" s="19" t="s">
        <v>1073</v>
      </c>
      <c r="J508" s="22">
        <v>0.47</v>
      </c>
      <c r="K508" s="22">
        <v>0.03</v>
      </c>
      <c r="L508" s="22">
        <v>88.9</v>
      </c>
      <c r="M508" s="22">
        <v>3.8</v>
      </c>
      <c r="N508" s="22">
        <f t="shared" si="47"/>
        <v>0.41782999999999998</v>
      </c>
      <c r="O508" s="22" t="s">
        <v>986</v>
      </c>
      <c r="P508" s="19" t="s">
        <v>1400</v>
      </c>
      <c r="Q508" s="3"/>
    </row>
    <row r="509" spans="1:17" s="1" customFormat="1">
      <c r="A509" s="19"/>
      <c r="B509" s="29"/>
      <c r="C509" s="29"/>
      <c r="D509" s="19"/>
      <c r="E509" s="22"/>
      <c r="F509" s="22"/>
      <c r="G509" s="424"/>
      <c r="H509" s="19"/>
      <c r="I509" s="19" t="s">
        <v>1261</v>
      </c>
      <c r="J509" s="22">
        <v>0.17</v>
      </c>
      <c r="K509" s="22">
        <v>0.06</v>
      </c>
      <c r="L509" s="22">
        <v>100</v>
      </c>
      <c r="M509" s="22">
        <v>0</v>
      </c>
      <c r="N509" s="22">
        <f t="shared" si="47"/>
        <v>0.17</v>
      </c>
      <c r="O509" s="22" t="s">
        <v>986</v>
      </c>
      <c r="P509" s="19" t="s">
        <v>1400</v>
      </c>
      <c r="Q509" s="3"/>
    </row>
    <row r="510" spans="1:17" s="1" customFormat="1">
      <c r="A510" s="19"/>
      <c r="B510" s="29"/>
      <c r="C510" s="29"/>
      <c r="D510" s="19"/>
      <c r="E510" s="22"/>
      <c r="F510" s="22"/>
      <c r="G510" s="424"/>
      <c r="H510" s="19"/>
      <c r="I510" s="19" t="s">
        <v>1401</v>
      </c>
      <c r="J510" s="22">
        <v>8.1</v>
      </c>
      <c r="K510" s="22">
        <v>0.61</v>
      </c>
      <c r="L510" s="22">
        <v>99.2</v>
      </c>
      <c r="M510" s="22">
        <v>0.28999999999999998</v>
      </c>
      <c r="N510" s="22">
        <f t="shared" si="47"/>
        <v>8.0351999999999997</v>
      </c>
      <c r="O510" s="22" t="s">
        <v>986</v>
      </c>
      <c r="P510" s="19" t="s">
        <v>1400</v>
      </c>
      <c r="Q510" s="3"/>
    </row>
    <row r="511" spans="1:17" s="1" customFormat="1">
      <c r="A511" s="19"/>
      <c r="B511" s="29"/>
      <c r="C511" s="29"/>
      <c r="D511" s="19"/>
      <c r="E511" s="22"/>
      <c r="F511" s="22"/>
      <c r="G511" s="424"/>
      <c r="H511" s="19"/>
      <c r="I511" s="19" t="s">
        <v>1402</v>
      </c>
      <c r="J511" s="22">
        <v>2.6</v>
      </c>
      <c r="K511" s="22">
        <v>0.17</v>
      </c>
      <c r="L511" s="22">
        <v>88.8</v>
      </c>
      <c r="M511" s="22">
        <v>3.8</v>
      </c>
      <c r="N511" s="22">
        <f t="shared" si="47"/>
        <v>2.3088000000000002</v>
      </c>
      <c r="O511" s="22" t="s">
        <v>986</v>
      </c>
      <c r="P511" s="19" t="s">
        <v>1400</v>
      </c>
      <c r="Q511" s="3"/>
    </row>
    <row r="512" spans="1:17" s="1" customFormat="1">
      <c r="A512" s="19"/>
      <c r="B512" s="29"/>
      <c r="C512" s="29"/>
      <c r="D512" s="19"/>
      <c r="E512" s="22"/>
      <c r="F512" s="22"/>
      <c r="G512" s="424"/>
      <c r="H512" s="19"/>
      <c r="I512" s="19" t="s">
        <v>1478</v>
      </c>
      <c r="J512" s="22">
        <v>16.8</v>
      </c>
      <c r="K512" s="22">
        <v>1.2</v>
      </c>
      <c r="L512" s="22">
        <v>89.1</v>
      </c>
      <c r="M512" s="22">
        <v>3.6</v>
      </c>
      <c r="N512" s="22">
        <f t="shared" si="47"/>
        <v>14.9688</v>
      </c>
      <c r="O512" s="22" t="s">
        <v>986</v>
      </c>
      <c r="P512" s="19" t="s">
        <v>1400</v>
      </c>
      <c r="Q512" s="3"/>
    </row>
    <row r="513" spans="1:17" s="1" customFormat="1">
      <c r="A513" s="19"/>
      <c r="B513" s="29"/>
      <c r="C513" s="29"/>
      <c r="D513" s="19"/>
      <c r="E513" s="22"/>
      <c r="F513" s="22"/>
      <c r="G513" s="424"/>
      <c r="H513" s="19"/>
      <c r="I513" s="19" t="s">
        <v>1247</v>
      </c>
      <c r="J513" s="22">
        <v>24.7</v>
      </c>
      <c r="K513" s="22">
        <v>1.9</v>
      </c>
      <c r="L513" s="22">
        <v>70.8</v>
      </c>
      <c r="M513" s="22">
        <v>4.7</v>
      </c>
      <c r="N513" s="22">
        <f t="shared" si="47"/>
        <v>17.487599999999997</v>
      </c>
      <c r="O513" s="22" t="s">
        <v>986</v>
      </c>
      <c r="P513" s="19" t="s">
        <v>1400</v>
      </c>
      <c r="Q513" s="3"/>
    </row>
    <row r="514" spans="1:17" s="1" customFormat="1">
      <c r="A514" s="19"/>
      <c r="B514" s="29"/>
      <c r="C514" s="29"/>
      <c r="D514" s="19"/>
      <c r="E514" s="22"/>
      <c r="F514" s="22"/>
      <c r="G514" s="424"/>
      <c r="H514" s="19"/>
      <c r="I514" s="19" t="s">
        <v>1600</v>
      </c>
      <c r="J514" s="22">
        <v>29.4</v>
      </c>
      <c r="K514" s="22">
        <v>2.8</v>
      </c>
      <c r="L514" s="22">
        <v>31.7</v>
      </c>
      <c r="M514" s="22">
        <v>11</v>
      </c>
      <c r="N514" s="22">
        <f t="shared" si="47"/>
        <v>9.319799999999999</v>
      </c>
      <c r="O514" s="22" t="s">
        <v>986</v>
      </c>
      <c r="P514" s="19" t="s">
        <v>1400</v>
      </c>
      <c r="Q514" s="3"/>
    </row>
    <row r="515" spans="1:17" s="1" customFormat="1">
      <c r="A515" s="19"/>
      <c r="B515" s="29"/>
      <c r="C515" s="29"/>
      <c r="D515" s="19"/>
      <c r="E515" s="22"/>
      <c r="F515" s="22"/>
      <c r="G515" s="424"/>
      <c r="H515" s="19"/>
      <c r="I515" s="19" t="s">
        <v>1503</v>
      </c>
      <c r="J515" s="22">
        <v>4.4000000000000004</v>
      </c>
      <c r="K515" s="22">
        <v>0.88</v>
      </c>
      <c r="L515" s="22">
        <v>85.1</v>
      </c>
      <c r="M515" s="22">
        <v>7.2</v>
      </c>
      <c r="N515" s="22">
        <f t="shared" si="47"/>
        <v>3.7444000000000002</v>
      </c>
      <c r="O515" s="22" t="s">
        <v>986</v>
      </c>
      <c r="P515" s="19" t="s">
        <v>1400</v>
      </c>
      <c r="Q515" s="3"/>
    </row>
    <row r="516" spans="1:17" s="1" customFormat="1">
      <c r="A516" s="19"/>
      <c r="B516" s="29"/>
      <c r="C516" s="29"/>
      <c r="D516" s="19"/>
      <c r="E516" s="22"/>
      <c r="F516" s="22"/>
      <c r="G516" s="424"/>
      <c r="H516" s="19"/>
      <c r="I516" s="19" t="s">
        <v>1408</v>
      </c>
      <c r="J516" s="22">
        <v>33.799999999999997</v>
      </c>
      <c r="K516" s="22">
        <v>2.9</v>
      </c>
      <c r="L516" s="22">
        <v>28.7</v>
      </c>
      <c r="M516" s="22">
        <v>10</v>
      </c>
      <c r="N516" s="22">
        <f t="shared" si="47"/>
        <v>9.7005999999999979</v>
      </c>
      <c r="O516" s="22" t="s">
        <v>986</v>
      </c>
      <c r="P516" s="19" t="s">
        <v>1400</v>
      </c>
      <c r="Q516" s="3"/>
    </row>
    <row r="517" spans="1:17" s="1" customFormat="1">
      <c r="A517" s="19"/>
      <c r="B517" s="29"/>
      <c r="C517" s="29"/>
      <c r="D517" s="19"/>
      <c r="E517" s="22"/>
      <c r="F517" s="22"/>
      <c r="G517" s="424"/>
      <c r="H517" s="19"/>
      <c r="I517" s="19" t="s">
        <v>1422</v>
      </c>
      <c r="J517" s="22">
        <v>7.7</v>
      </c>
      <c r="K517" s="22">
        <v>2.7</v>
      </c>
      <c r="L517" s="22">
        <v>56.1</v>
      </c>
      <c r="M517" s="22">
        <v>22.9</v>
      </c>
      <c r="N517" s="22">
        <f t="shared" si="47"/>
        <v>4.3197000000000001</v>
      </c>
      <c r="O517" s="22" t="s">
        <v>986</v>
      </c>
      <c r="P517" s="19" t="s">
        <v>1400</v>
      </c>
      <c r="Q517" s="3"/>
    </row>
    <row r="518" spans="1:17" s="1" customFormat="1">
      <c r="A518" s="19"/>
      <c r="B518" s="29"/>
      <c r="C518" s="29"/>
      <c r="D518" s="19"/>
      <c r="E518" s="22"/>
      <c r="F518" s="22"/>
      <c r="G518" s="424"/>
      <c r="H518" s="19"/>
      <c r="I518" s="19" t="s">
        <v>1423</v>
      </c>
      <c r="J518" s="22">
        <v>0.8</v>
      </c>
      <c r="K518" s="22">
        <v>0.8</v>
      </c>
      <c r="L518" s="22">
        <v>100</v>
      </c>
      <c r="M518" s="22">
        <v>0</v>
      </c>
      <c r="N518" s="22">
        <f t="shared" si="47"/>
        <v>0.8</v>
      </c>
      <c r="O518" s="22" t="s">
        <v>986</v>
      </c>
      <c r="P518" s="19" t="s">
        <v>1400</v>
      </c>
      <c r="Q518" s="3"/>
    </row>
    <row r="519" spans="1:17" s="1" customFormat="1">
      <c r="A519" s="19"/>
      <c r="B519" s="29"/>
      <c r="C519" s="29"/>
      <c r="D519" s="19"/>
      <c r="E519" s="22"/>
      <c r="F519" s="22"/>
      <c r="G519" s="424"/>
      <c r="H519" s="19"/>
      <c r="I519" s="19" t="s">
        <v>1427</v>
      </c>
      <c r="J519" s="22">
        <v>8.5</v>
      </c>
      <c r="K519" s="22">
        <v>2.8</v>
      </c>
      <c r="L519" s="22">
        <v>60.9</v>
      </c>
      <c r="M519" s="22">
        <v>20.8</v>
      </c>
      <c r="N519" s="22">
        <f t="shared" si="47"/>
        <v>5.1764999999999999</v>
      </c>
      <c r="O519" s="22" t="s">
        <v>986</v>
      </c>
      <c r="P519" s="19" t="s">
        <v>1400</v>
      </c>
      <c r="Q519" s="3"/>
    </row>
    <row r="520" spans="1:17" s="1" customFormat="1">
      <c r="A520" s="19"/>
      <c r="B520" s="29"/>
      <c r="C520" s="29"/>
      <c r="D520" s="19"/>
      <c r="E520" s="22"/>
      <c r="F520" s="22"/>
      <c r="G520" s="424"/>
      <c r="H520" s="19"/>
      <c r="I520" s="19" t="s">
        <v>1184</v>
      </c>
      <c r="J520" s="22">
        <v>86.4</v>
      </c>
      <c r="K520" s="22">
        <v>4.2</v>
      </c>
      <c r="L520" s="22">
        <v>62.4</v>
      </c>
      <c r="M520" s="22">
        <v>4.0999999999999996</v>
      </c>
      <c r="N520" s="22">
        <f t="shared" si="47"/>
        <v>53.913600000000002</v>
      </c>
      <c r="O520" s="22" t="s">
        <v>986</v>
      </c>
      <c r="P520" s="19" t="s">
        <v>1400</v>
      </c>
      <c r="Q520" s="3"/>
    </row>
    <row r="521" spans="1:17" s="1" customFormat="1">
      <c r="A521" s="19"/>
      <c r="B521" s="29"/>
      <c r="C521" s="29"/>
      <c r="D521" s="19"/>
      <c r="E521" s="22"/>
      <c r="F521" s="22"/>
      <c r="G521" s="424"/>
      <c r="H521" s="19"/>
      <c r="I521" s="19" t="s">
        <v>1420</v>
      </c>
      <c r="J521" s="22">
        <v>9.9</v>
      </c>
      <c r="K521" s="22">
        <v>4</v>
      </c>
      <c r="L521" s="22">
        <v>78.099999999999994</v>
      </c>
      <c r="M521" s="22">
        <v>21.9</v>
      </c>
      <c r="N521" s="22">
        <f t="shared" si="47"/>
        <v>7.7318999999999996</v>
      </c>
      <c r="O521" s="22" t="s">
        <v>986</v>
      </c>
      <c r="P521" s="19" t="s">
        <v>1400</v>
      </c>
      <c r="Q521" s="3"/>
    </row>
    <row r="522" spans="1:17" s="1" customFormat="1">
      <c r="A522" s="19"/>
      <c r="B522" s="29"/>
      <c r="C522" s="29"/>
      <c r="D522" s="19"/>
      <c r="E522" s="22"/>
      <c r="F522" s="22"/>
      <c r="G522" s="424"/>
      <c r="H522" s="19"/>
      <c r="I522" s="19" t="s">
        <v>1428</v>
      </c>
      <c r="J522" s="22">
        <v>13.9</v>
      </c>
      <c r="K522" s="22">
        <v>5</v>
      </c>
      <c r="L522" s="22">
        <v>32.700000000000003</v>
      </c>
      <c r="M522" s="22">
        <v>19.7</v>
      </c>
      <c r="N522" s="22">
        <f t="shared" si="47"/>
        <v>4.5453000000000001</v>
      </c>
      <c r="O522" s="22" t="s">
        <v>986</v>
      </c>
      <c r="P522" s="19" t="s">
        <v>1400</v>
      </c>
      <c r="Q522" s="3"/>
    </row>
    <row r="523" spans="1:17" s="1" customFormat="1">
      <c r="A523" s="19"/>
      <c r="B523" s="29"/>
      <c r="C523" s="29"/>
      <c r="D523" s="19"/>
      <c r="E523" s="22"/>
      <c r="F523" s="22"/>
      <c r="G523" s="424"/>
      <c r="H523" s="19"/>
      <c r="I523" s="19" t="s">
        <v>485</v>
      </c>
      <c r="J523" s="22">
        <v>118.2</v>
      </c>
      <c r="K523" s="22">
        <v>2.8</v>
      </c>
      <c r="L523" s="22">
        <v>62.4</v>
      </c>
      <c r="M523" s="22">
        <v>15.1</v>
      </c>
      <c r="N523" s="22">
        <f t="shared" si="47"/>
        <v>73.756799999999998</v>
      </c>
      <c r="O523" s="22" t="s">
        <v>986</v>
      </c>
      <c r="P523" s="19" t="s">
        <v>1400</v>
      </c>
      <c r="Q523" s="3"/>
    </row>
    <row r="524" spans="1:17" s="1" customFormat="1">
      <c r="A524" s="19" t="s">
        <v>1476</v>
      </c>
      <c r="B524" s="29" t="s">
        <v>1477</v>
      </c>
      <c r="C524" s="29" t="s">
        <v>1579</v>
      </c>
      <c r="D524" s="19" t="s">
        <v>1501</v>
      </c>
      <c r="E524" s="22">
        <v>1993</v>
      </c>
      <c r="F524" s="22">
        <v>5</v>
      </c>
      <c r="G524" s="22" t="s">
        <v>1631</v>
      </c>
      <c r="H524" s="19" t="s">
        <v>554</v>
      </c>
      <c r="I524" s="19" t="s">
        <v>544</v>
      </c>
      <c r="J524" s="22">
        <v>7.4</v>
      </c>
      <c r="K524" s="22">
        <v>0.56000000000000005</v>
      </c>
      <c r="L524" s="22">
        <v>100</v>
      </c>
      <c r="M524" s="22">
        <v>0</v>
      </c>
      <c r="N524" s="22">
        <f t="shared" si="47"/>
        <v>7.4</v>
      </c>
      <c r="O524" s="22" t="s">
        <v>986</v>
      </c>
      <c r="P524" s="19" t="s">
        <v>1641</v>
      </c>
      <c r="Q524" s="3"/>
    </row>
    <row r="525" spans="1:17" s="1" customFormat="1">
      <c r="A525" s="19"/>
      <c r="B525" s="29"/>
      <c r="C525" s="29"/>
      <c r="D525" s="19"/>
      <c r="E525" s="22"/>
      <c r="F525" s="22"/>
      <c r="G525" s="22"/>
      <c r="H525" s="19"/>
      <c r="I525" s="19" t="s">
        <v>1073</v>
      </c>
      <c r="J525" s="22">
        <v>0.41</v>
      </c>
      <c r="K525" s="22">
        <v>0.03</v>
      </c>
      <c r="L525" s="22">
        <v>100</v>
      </c>
      <c r="M525" s="22">
        <v>0.13</v>
      </c>
      <c r="N525" s="22">
        <f t="shared" si="47"/>
        <v>0.41</v>
      </c>
      <c r="O525" s="22" t="s">
        <v>986</v>
      </c>
      <c r="P525" s="19" t="s">
        <v>1641</v>
      </c>
      <c r="Q525" s="3"/>
    </row>
    <row r="526" spans="1:17" s="1" customFormat="1">
      <c r="A526" s="19"/>
      <c r="B526" s="29"/>
      <c r="C526" s="29"/>
      <c r="D526" s="19"/>
      <c r="E526" s="22"/>
      <c r="F526" s="22"/>
      <c r="G526" s="22"/>
      <c r="H526" s="19"/>
      <c r="I526" s="19" t="s">
        <v>1261</v>
      </c>
      <c r="J526" s="22">
        <v>0.2</v>
      </c>
      <c r="K526" s="22">
        <v>0.04</v>
      </c>
      <c r="L526" s="22">
        <v>100</v>
      </c>
      <c r="M526" s="22">
        <v>0</v>
      </c>
      <c r="N526" s="22">
        <f t="shared" si="47"/>
        <v>0.2</v>
      </c>
      <c r="O526" s="22" t="s">
        <v>986</v>
      </c>
      <c r="P526" s="19" t="s">
        <v>1641</v>
      </c>
      <c r="Q526" s="3"/>
    </row>
    <row r="527" spans="1:17" s="1" customFormat="1">
      <c r="A527" s="19"/>
      <c r="B527" s="29"/>
      <c r="C527" s="29"/>
      <c r="D527" s="19"/>
      <c r="E527" s="22"/>
      <c r="F527" s="22"/>
      <c r="G527" s="22"/>
      <c r="H527" s="19"/>
      <c r="I527" s="19" t="s">
        <v>1736</v>
      </c>
      <c r="J527" s="22">
        <v>8</v>
      </c>
      <c r="K527" s="22">
        <v>0.56000000000000005</v>
      </c>
      <c r="L527" s="22">
        <v>99.9</v>
      </c>
      <c r="M527" s="22">
        <v>0.05</v>
      </c>
      <c r="N527" s="22">
        <f t="shared" si="47"/>
        <v>7.9920000000000009</v>
      </c>
      <c r="O527" s="22" t="s">
        <v>986</v>
      </c>
      <c r="P527" s="19" t="s">
        <v>1641</v>
      </c>
      <c r="Q527" s="3"/>
    </row>
    <row r="528" spans="1:17" s="1" customFormat="1">
      <c r="A528" s="19"/>
      <c r="B528" s="29"/>
      <c r="C528" s="29"/>
      <c r="D528" s="19"/>
      <c r="E528" s="22"/>
      <c r="F528" s="22"/>
      <c r="G528" s="22"/>
      <c r="H528" s="19"/>
      <c r="I528" s="19" t="s">
        <v>1251</v>
      </c>
      <c r="J528" s="22">
        <v>2.4</v>
      </c>
      <c r="K528" s="22">
        <v>0.19</v>
      </c>
      <c r="L528" s="22">
        <v>99.9</v>
      </c>
      <c r="M528" s="22">
        <v>0.13</v>
      </c>
      <c r="N528" s="22">
        <f t="shared" si="47"/>
        <v>2.3976000000000002</v>
      </c>
      <c r="O528" s="22" t="s">
        <v>986</v>
      </c>
      <c r="P528" s="19" t="s">
        <v>1641</v>
      </c>
      <c r="Q528" s="3"/>
    </row>
    <row r="529" spans="1:17" s="1" customFormat="1">
      <c r="A529" s="19"/>
      <c r="B529" s="29"/>
      <c r="C529" s="29"/>
      <c r="D529" s="19"/>
      <c r="E529" s="22"/>
      <c r="F529" s="22"/>
      <c r="G529" s="22"/>
      <c r="H529" s="19"/>
      <c r="I529" s="19" t="s">
        <v>1478</v>
      </c>
      <c r="J529" s="22">
        <v>15.5</v>
      </c>
      <c r="K529" s="22">
        <v>1.2</v>
      </c>
      <c r="L529" s="22">
        <v>96.8</v>
      </c>
      <c r="M529" s="22">
        <v>0.97</v>
      </c>
      <c r="N529" s="22">
        <f t="shared" si="47"/>
        <v>15.004</v>
      </c>
      <c r="O529" s="22" t="s">
        <v>986</v>
      </c>
      <c r="P529" s="19" t="s">
        <v>1641</v>
      </c>
      <c r="Q529" s="3"/>
    </row>
    <row r="530" spans="1:17" s="1" customFormat="1">
      <c r="A530" s="19"/>
      <c r="B530" s="29"/>
      <c r="C530" s="29"/>
      <c r="D530" s="19"/>
      <c r="E530" s="22"/>
      <c r="F530" s="22"/>
      <c r="G530" s="22"/>
      <c r="H530" s="19"/>
      <c r="I530" s="19" t="s">
        <v>1247</v>
      </c>
      <c r="J530" s="22">
        <v>28</v>
      </c>
      <c r="K530" s="22">
        <v>1.8</v>
      </c>
      <c r="L530" s="22">
        <v>87.7</v>
      </c>
      <c r="M530" s="22">
        <v>3.7</v>
      </c>
      <c r="N530" s="22">
        <f t="shared" si="47"/>
        <v>24.556000000000001</v>
      </c>
      <c r="O530" s="22" t="s">
        <v>986</v>
      </c>
      <c r="P530" s="19" t="s">
        <v>1641</v>
      </c>
      <c r="Q530" s="3"/>
    </row>
    <row r="531" spans="1:17" s="1" customFormat="1">
      <c r="A531" s="19"/>
      <c r="B531" s="29"/>
      <c r="C531" s="29"/>
      <c r="D531" s="19"/>
      <c r="E531" s="22"/>
      <c r="F531" s="22"/>
      <c r="G531" s="22"/>
      <c r="H531" s="19"/>
      <c r="I531" s="19" t="s">
        <v>1600</v>
      </c>
      <c r="J531" s="22">
        <v>31.4</v>
      </c>
      <c r="K531" s="22">
        <v>3.5</v>
      </c>
      <c r="L531" s="22">
        <v>78.5</v>
      </c>
      <c r="M531" s="22">
        <v>5.7</v>
      </c>
      <c r="N531" s="22">
        <f t="shared" si="47"/>
        <v>24.649000000000001</v>
      </c>
      <c r="O531" s="22" t="s">
        <v>986</v>
      </c>
      <c r="P531" s="19" t="s">
        <v>1641</v>
      </c>
      <c r="Q531" s="3"/>
    </row>
    <row r="532" spans="1:17" s="1" customFormat="1">
      <c r="A532" s="19"/>
      <c r="B532" s="29"/>
      <c r="C532" s="29"/>
      <c r="D532" s="19"/>
      <c r="E532" s="22"/>
      <c r="F532" s="22"/>
      <c r="G532" s="22"/>
      <c r="H532" s="19"/>
      <c r="I532" s="19" t="s">
        <v>1503</v>
      </c>
      <c r="J532" s="22">
        <v>5</v>
      </c>
      <c r="K532" s="22">
        <v>1.2</v>
      </c>
      <c r="L532" s="22">
        <v>86.5</v>
      </c>
      <c r="M532" s="22">
        <v>9.9</v>
      </c>
      <c r="N532" s="22">
        <f t="shared" si="47"/>
        <v>4.3250000000000002</v>
      </c>
      <c r="O532" s="22" t="s">
        <v>986</v>
      </c>
      <c r="P532" s="19" t="s">
        <v>1641</v>
      </c>
      <c r="Q532" s="3"/>
    </row>
    <row r="533" spans="1:17" s="1" customFormat="1">
      <c r="A533" s="19"/>
      <c r="B533" s="29"/>
      <c r="C533" s="29"/>
      <c r="D533" s="19"/>
      <c r="E533" s="22"/>
      <c r="F533" s="22"/>
      <c r="G533" s="22"/>
      <c r="H533" s="19"/>
      <c r="I533" s="19" t="s">
        <v>1408</v>
      </c>
      <c r="J533" s="22">
        <v>36.4</v>
      </c>
      <c r="K533" s="22">
        <v>4.0999999999999996</v>
      </c>
      <c r="L533" s="22">
        <v>62.3</v>
      </c>
      <c r="M533" s="22">
        <v>14.4</v>
      </c>
      <c r="N533" s="22">
        <f t="shared" si="47"/>
        <v>22.677199999999999</v>
      </c>
      <c r="O533" s="22" t="s">
        <v>986</v>
      </c>
      <c r="P533" s="19" t="s">
        <v>1641</v>
      </c>
      <c r="Q533" s="3"/>
    </row>
    <row r="534" spans="1:17" s="1" customFormat="1">
      <c r="A534" s="19"/>
      <c r="B534" s="29"/>
      <c r="C534" s="29"/>
      <c r="D534" s="19"/>
      <c r="E534" s="22"/>
      <c r="F534" s="22"/>
      <c r="G534" s="22"/>
      <c r="H534" s="19"/>
      <c r="I534" s="19" t="s">
        <v>1422</v>
      </c>
      <c r="J534" s="22">
        <v>7.8</v>
      </c>
      <c r="K534" s="22">
        <v>2.8</v>
      </c>
      <c r="L534" s="22">
        <v>71.599999999999994</v>
      </c>
      <c r="M534" s="22">
        <v>19.399999999999999</v>
      </c>
      <c r="N534" s="22">
        <f t="shared" si="47"/>
        <v>5.5847999999999995</v>
      </c>
      <c r="O534" s="22" t="s">
        <v>986</v>
      </c>
      <c r="P534" s="19" t="s">
        <v>1641</v>
      </c>
      <c r="Q534" s="3"/>
    </row>
    <row r="535" spans="1:17" s="1" customFormat="1">
      <c r="A535" s="19"/>
      <c r="B535" s="29"/>
      <c r="C535" s="29"/>
      <c r="D535" s="19"/>
      <c r="E535" s="22"/>
      <c r="F535" s="22"/>
      <c r="G535" s="22"/>
      <c r="H535" s="19"/>
      <c r="I535" s="19" t="s">
        <v>1423</v>
      </c>
      <c r="J535" s="22">
        <v>1.2</v>
      </c>
      <c r="K535" s="22">
        <v>0.83</v>
      </c>
      <c r="L535" s="22">
        <v>100</v>
      </c>
      <c r="M535" s="22">
        <v>0</v>
      </c>
      <c r="N535" s="22">
        <f t="shared" si="47"/>
        <v>1.2</v>
      </c>
      <c r="O535" s="22" t="s">
        <v>986</v>
      </c>
      <c r="P535" s="19" t="s">
        <v>1641</v>
      </c>
      <c r="Q535" s="3"/>
    </row>
    <row r="536" spans="1:17" s="1" customFormat="1">
      <c r="A536" s="19"/>
      <c r="B536" s="29"/>
      <c r="C536" s="29"/>
      <c r="D536" s="19"/>
      <c r="E536" s="22"/>
      <c r="F536" s="22"/>
      <c r="G536" s="22"/>
      <c r="H536" s="19"/>
      <c r="I536" s="19" t="s">
        <v>1427</v>
      </c>
      <c r="J536" s="22">
        <v>9</v>
      </c>
      <c r="K536" s="22">
        <v>2.8</v>
      </c>
      <c r="L536" s="22">
        <v>77.3</v>
      </c>
      <c r="M536" s="22">
        <v>15.7</v>
      </c>
      <c r="N536" s="22">
        <f t="shared" si="47"/>
        <v>6.9569999999999999</v>
      </c>
      <c r="O536" s="22" t="s">
        <v>986</v>
      </c>
      <c r="P536" s="19" t="s">
        <v>1641</v>
      </c>
      <c r="Q536" s="3"/>
    </row>
    <row r="537" spans="1:17" s="1" customFormat="1">
      <c r="A537" s="19"/>
      <c r="B537" s="29"/>
      <c r="C537" s="29"/>
      <c r="D537" s="19"/>
      <c r="E537" s="22"/>
      <c r="F537" s="22"/>
      <c r="G537" s="22"/>
      <c r="H537" s="19"/>
      <c r="I537" s="19" t="s">
        <v>1184</v>
      </c>
      <c r="J537" s="22">
        <v>91.3</v>
      </c>
      <c r="K537" s="22">
        <v>5.9</v>
      </c>
      <c r="L537" s="22">
        <v>80.400000000000006</v>
      </c>
      <c r="M537" s="22">
        <v>4</v>
      </c>
      <c r="N537" s="22">
        <f t="shared" si="47"/>
        <v>73.405200000000008</v>
      </c>
      <c r="O537" s="22" t="s">
        <v>986</v>
      </c>
      <c r="P537" s="19" t="s">
        <v>1641</v>
      </c>
      <c r="Q537" s="3"/>
    </row>
    <row r="538" spans="1:17" s="1" customFormat="1">
      <c r="A538" s="19"/>
      <c r="B538" s="29"/>
      <c r="C538" s="29"/>
      <c r="D538" s="19"/>
      <c r="E538" s="22"/>
      <c r="F538" s="22"/>
      <c r="G538" s="22"/>
      <c r="H538" s="19"/>
      <c r="I538" s="19" t="s">
        <v>1420</v>
      </c>
      <c r="J538" s="22">
        <v>14.8</v>
      </c>
      <c r="K538" s="22">
        <v>4.5999999999999996</v>
      </c>
      <c r="L538" s="22">
        <v>95.7</v>
      </c>
      <c r="M538" s="22">
        <v>4.3</v>
      </c>
      <c r="N538" s="22">
        <f t="shared" si="47"/>
        <v>14.163600000000002</v>
      </c>
      <c r="O538" s="22" t="s">
        <v>986</v>
      </c>
      <c r="P538" s="19" t="s">
        <v>1641</v>
      </c>
      <c r="Q538" s="3"/>
    </row>
    <row r="539" spans="1:17" s="1" customFormat="1">
      <c r="A539" s="19"/>
      <c r="B539" s="29"/>
      <c r="C539" s="29"/>
      <c r="D539" s="19"/>
      <c r="E539" s="22"/>
      <c r="F539" s="22"/>
      <c r="G539" s="22"/>
      <c r="H539" s="19"/>
      <c r="I539" s="19" t="s">
        <v>1428</v>
      </c>
      <c r="J539" s="22">
        <v>20.9</v>
      </c>
      <c r="K539" s="22">
        <v>5.7</v>
      </c>
      <c r="L539" s="22">
        <v>49.8</v>
      </c>
      <c r="M539" s="22">
        <v>19</v>
      </c>
      <c r="N539" s="22">
        <f t="shared" si="47"/>
        <v>10.408199999999999</v>
      </c>
      <c r="O539" s="22" t="s">
        <v>986</v>
      </c>
      <c r="P539" s="19" t="s">
        <v>1641</v>
      </c>
      <c r="Q539" s="3"/>
    </row>
    <row r="540" spans="1:17" s="1" customFormat="1" ht="14" thickBot="1">
      <c r="A540" s="19"/>
      <c r="B540" s="29"/>
      <c r="C540" s="29"/>
      <c r="D540" s="19"/>
      <c r="E540" s="22"/>
      <c r="F540" s="22"/>
      <c r="G540" s="22"/>
      <c r="H540" s="19"/>
      <c r="I540" s="38" t="s">
        <v>485</v>
      </c>
      <c r="J540" s="45">
        <v>134.9</v>
      </c>
      <c r="K540" s="45">
        <v>1.4</v>
      </c>
      <c r="L540" s="45">
        <v>80.2</v>
      </c>
      <c r="M540" s="45">
        <v>2.8</v>
      </c>
      <c r="N540" s="45">
        <f t="shared" si="47"/>
        <v>108.18980000000001</v>
      </c>
      <c r="O540" s="45" t="s">
        <v>986</v>
      </c>
      <c r="P540" s="19" t="s">
        <v>1641</v>
      </c>
      <c r="Q540" s="3"/>
    </row>
    <row r="541" spans="1:17" s="1" customFormat="1" ht="15">
      <c r="A541" s="3"/>
      <c r="B541" s="5"/>
      <c r="C541" s="5"/>
      <c r="D541" s="3"/>
      <c r="E541" s="74"/>
      <c r="F541" s="74"/>
      <c r="G541" s="74"/>
      <c r="H541" s="3"/>
      <c r="I541" s="47" t="s">
        <v>544</v>
      </c>
      <c r="J541" s="51">
        <f t="shared" ref="J541:J557" si="48">ROUND(AVERAGE(J507,J524),1)</f>
        <v>7.4</v>
      </c>
      <c r="K541" s="51" t="s">
        <v>532</v>
      </c>
      <c r="L541" s="51">
        <f t="shared" ref="L541:L557" si="49">ROUND(AVERAGE(L507,L524),1)</f>
        <v>100</v>
      </c>
      <c r="M541" s="51" t="s">
        <v>532</v>
      </c>
      <c r="N541" s="51">
        <f t="shared" ref="N541:N557" si="50">ROUND(AVERAGE(N507,N524),1)</f>
        <v>7.4</v>
      </c>
      <c r="O541" s="52" t="s">
        <v>532</v>
      </c>
      <c r="P541" s="3"/>
      <c r="Q541" s="3"/>
    </row>
    <row r="542" spans="1:17" s="1" customFormat="1" ht="15">
      <c r="A542" s="3"/>
      <c r="B542" s="5"/>
      <c r="C542" s="5"/>
      <c r="D542" s="3"/>
      <c r="E542" s="74"/>
      <c r="F542" s="74"/>
      <c r="G542" s="422"/>
      <c r="H542" s="3"/>
      <c r="I542" s="48" t="s">
        <v>1073</v>
      </c>
      <c r="J542" s="53">
        <f t="shared" si="48"/>
        <v>0.4</v>
      </c>
      <c r="K542" s="53" t="s">
        <v>532</v>
      </c>
      <c r="L542" s="53">
        <f t="shared" si="49"/>
        <v>94.5</v>
      </c>
      <c r="M542" s="53" t="s">
        <v>532</v>
      </c>
      <c r="N542" s="53">
        <f t="shared" si="50"/>
        <v>0.4</v>
      </c>
      <c r="O542" s="54" t="s">
        <v>532</v>
      </c>
      <c r="P542" s="3"/>
      <c r="Q542" s="3"/>
    </row>
    <row r="543" spans="1:17" s="1" customFormat="1" ht="15">
      <c r="A543" s="3"/>
      <c r="B543" s="5"/>
      <c r="C543" s="5"/>
      <c r="D543" s="3"/>
      <c r="E543" s="74"/>
      <c r="F543" s="74"/>
      <c r="G543" s="422"/>
      <c r="H543" s="3"/>
      <c r="I543" s="48" t="s">
        <v>1374</v>
      </c>
      <c r="J543" s="53">
        <f t="shared" si="48"/>
        <v>0.2</v>
      </c>
      <c r="K543" s="53" t="s">
        <v>265</v>
      </c>
      <c r="L543" s="53">
        <f t="shared" si="49"/>
        <v>100</v>
      </c>
      <c r="M543" s="53" t="s">
        <v>265</v>
      </c>
      <c r="N543" s="53">
        <f t="shared" si="50"/>
        <v>0.2</v>
      </c>
      <c r="O543" s="54" t="s">
        <v>265</v>
      </c>
      <c r="P543" s="3"/>
      <c r="Q543" s="3"/>
    </row>
    <row r="544" spans="1:17" s="1" customFormat="1" ht="15">
      <c r="A544" s="3"/>
      <c r="B544" s="5"/>
      <c r="C544" s="5"/>
      <c r="D544" s="3"/>
      <c r="E544" s="74"/>
      <c r="F544" s="74"/>
      <c r="G544" s="422"/>
      <c r="H544" s="3"/>
      <c r="I544" s="48" t="s">
        <v>1443</v>
      </c>
      <c r="J544" s="53">
        <f t="shared" si="48"/>
        <v>8.1</v>
      </c>
      <c r="K544" s="53" t="s">
        <v>532</v>
      </c>
      <c r="L544" s="53">
        <f t="shared" si="49"/>
        <v>99.6</v>
      </c>
      <c r="M544" s="53" t="s">
        <v>532</v>
      </c>
      <c r="N544" s="53">
        <f t="shared" si="50"/>
        <v>8</v>
      </c>
      <c r="O544" s="54" t="s">
        <v>532</v>
      </c>
      <c r="P544" s="3"/>
      <c r="Q544" s="3"/>
    </row>
    <row r="545" spans="1:17" s="1" customFormat="1" ht="15">
      <c r="A545" s="3"/>
      <c r="B545" s="5"/>
      <c r="C545" s="5"/>
      <c r="D545" s="3"/>
      <c r="E545" s="74"/>
      <c r="F545" s="74"/>
      <c r="G545" s="422"/>
      <c r="H545" s="3"/>
      <c r="I545" s="48" t="s">
        <v>1444</v>
      </c>
      <c r="J545" s="53">
        <f t="shared" si="48"/>
        <v>2.5</v>
      </c>
      <c r="K545" s="53" t="s">
        <v>532</v>
      </c>
      <c r="L545" s="53">
        <f t="shared" si="49"/>
        <v>94.4</v>
      </c>
      <c r="M545" s="53" t="s">
        <v>532</v>
      </c>
      <c r="N545" s="53">
        <f t="shared" si="50"/>
        <v>2.4</v>
      </c>
      <c r="O545" s="54" t="s">
        <v>532</v>
      </c>
      <c r="P545" s="3"/>
      <c r="Q545" s="3"/>
    </row>
    <row r="546" spans="1:17" s="1" customFormat="1" ht="15">
      <c r="A546" s="3"/>
      <c r="B546" s="5"/>
      <c r="C546" s="5"/>
      <c r="D546" s="3"/>
      <c r="E546" s="74"/>
      <c r="F546" s="74"/>
      <c r="G546" s="422"/>
      <c r="H546" s="3"/>
      <c r="I546" s="48" t="s">
        <v>1445</v>
      </c>
      <c r="J546" s="53">
        <f t="shared" si="48"/>
        <v>16.2</v>
      </c>
      <c r="K546" s="53" t="s">
        <v>532</v>
      </c>
      <c r="L546" s="53">
        <f t="shared" si="49"/>
        <v>93</v>
      </c>
      <c r="M546" s="53" t="s">
        <v>532</v>
      </c>
      <c r="N546" s="53">
        <f t="shared" si="50"/>
        <v>15</v>
      </c>
      <c r="O546" s="54" t="s">
        <v>532</v>
      </c>
      <c r="P546" s="3"/>
      <c r="Q546" s="3"/>
    </row>
    <row r="547" spans="1:17" s="1" customFormat="1" ht="15">
      <c r="A547" s="3"/>
      <c r="B547" s="5"/>
      <c r="C547" s="5"/>
      <c r="D547" s="3"/>
      <c r="E547" s="74"/>
      <c r="F547" s="74"/>
      <c r="G547" s="422"/>
      <c r="H547" s="3"/>
      <c r="I547" s="48" t="s">
        <v>903</v>
      </c>
      <c r="J547" s="53">
        <f t="shared" si="48"/>
        <v>26.4</v>
      </c>
      <c r="K547" s="53" t="s">
        <v>532</v>
      </c>
      <c r="L547" s="53">
        <f t="shared" si="49"/>
        <v>79.3</v>
      </c>
      <c r="M547" s="53" t="s">
        <v>532</v>
      </c>
      <c r="N547" s="53">
        <f t="shared" si="50"/>
        <v>21</v>
      </c>
      <c r="O547" s="54" t="s">
        <v>532</v>
      </c>
      <c r="P547" s="3"/>
      <c r="Q547" s="3"/>
    </row>
    <row r="548" spans="1:17" s="1" customFormat="1" ht="15">
      <c r="A548" s="3"/>
      <c r="B548" s="5"/>
      <c r="C548" s="5"/>
      <c r="D548" s="3"/>
      <c r="E548" s="74"/>
      <c r="F548" s="74"/>
      <c r="G548" s="422"/>
      <c r="H548" s="3"/>
      <c r="I548" s="48" t="s">
        <v>1446</v>
      </c>
      <c r="J548" s="53">
        <f t="shared" si="48"/>
        <v>30.4</v>
      </c>
      <c r="K548" s="53" t="s">
        <v>532</v>
      </c>
      <c r="L548" s="53">
        <f t="shared" si="49"/>
        <v>55.1</v>
      </c>
      <c r="M548" s="53" t="s">
        <v>532</v>
      </c>
      <c r="N548" s="53">
        <f t="shared" si="50"/>
        <v>17</v>
      </c>
      <c r="O548" s="54" t="s">
        <v>532</v>
      </c>
      <c r="P548" s="3"/>
      <c r="Q548" s="3"/>
    </row>
    <row r="549" spans="1:17" s="1" customFormat="1" ht="15">
      <c r="A549" s="3"/>
      <c r="B549" s="5"/>
      <c r="C549" s="5"/>
      <c r="D549" s="3"/>
      <c r="E549" s="74"/>
      <c r="F549" s="74"/>
      <c r="G549" s="422"/>
      <c r="H549" s="3"/>
      <c r="I549" s="48" t="s">
        <v>1545</v>
      </c>
      <c r="J549" s="53">
        <f t="shared" si="48"/>
        <v>4.7</v>
      </c>
      <c r="K549" s="53" t="s">
        <v>532</v>
      </c>
      <c r="L549" s="53">
        <f t="shared" si="49"/>
        <v>85.8</v>
      </c>
      <c r="M549" s="53" t="s">
        <v>532</v>
      </c>
      <c r="N549" s="53">
        <f t="shared" si="50"/>
        <v>4</v>
      </c>
      <c r="O549" s="54" t="s">
        <v>532</v>
      </c>
      <c r="P549" s="3"/>
      <c r="Q549" s="3"/>
    </row>
    <row r="550" spans="1:17" s="1" customFormat="1" ht="15">
      <c r="A550" s="3"/>
      <c r="B550" s="5"/>
      <c r="C550" s="5"/>
      <c r="D550" s="3"/>
      <c r="E550" s="74"/>
      <c r="F550" s="74"/>
      <c r="G550" s="422"/>
      <c r="H550" s="3"/>
      <c r="I550" s="48" t="s">
        <v>1546</v>
      </c>
      <c r="J550" s="53">
        <f t="shared" si="48"/>
        <v>35.1</v>
      </c>
      <c r="K550" s="53" t="s">
        <v>532</v>
      </c>
      <c r="L550" s="53">
        <f t="shared" si="49"/>
        <v>45.5</v>
      </c>
      <c r="M550" s="53" t="s">
        <v>532</v>
      </c>
      <c r="N550" s="53">
        <f t="shared" si="50"/>
        <v>16.2</v>
      </c>
      <c r="O550" s="54" t="s">
        <v>532</v>
      </c>
      <c r="P550" s="3"/>
      <c r="Q550" s="3"/>
    </row>
    <row r="551" spans="1:17" s="1" customFormat="1" ht="15">
      <c r="A551" s="3"/>
      <c r="B551" s="5"/>
      <c r="C551" s="5"/>
      <c r="D551" s="3"/>
      <c r="E551" s="74"/>
      <c r="F551" s="74"/>
      <c r="G551" s="422"/>
      <c r="H551" s="3"/>
      <c r="I551" s="48" t="s">
        <v>1343</v>
      </c>
      <c r="J551" s="53">
        <f t="shared" si="48"/>
        <v>7.8</v>
      </c>
      <c r="K551" s="53" t="s">
        <v>532</v>
      </c>
      <c r="L551" s="53">
        <f t="shared" si="49"/>
        <v>63.9</v>
      </c>
      <c r="M551" s="53" t="s">
        <v>532</v>
      </c>
      <c r="N551" s="53">
        <f t="shared" si="50"/>
        <v>5</v>
      </c>
      <c r="O551" s="54" t="s">
        <v>532</v>
      </c>
      <c r="P551" s="3"/>
      <c r="Q551" s="3"/>
    </row>
    <row r="552" spans="1:17" s="1" customFormat="1" ht="15">
      <c r="A552" s="3"/>
      <c r="B552" s="5"/>
      <c r="C552" s="5"/>
      <c r="D552" s="3"/>
      <c r="E552" s="74"/>
      <c r="F552" s="74"/>
      <c r="G552" s="422"/>
      <c r="H552" s="3"/>
      <c r="I552" s="48" t="s">
        <v>1713</v>
      </c>
      <c r="J552" s="53">
        <f t="shared" si="48"/>
        <v>1</v>
      </c>
      <c r="K552" s="53" t="s">
        <v>265</v>
      </c>
      <c r="L552" s="53">
        <f t="shared" si="49"/>
        <v>100</v>
      </c>
      <c r="M552" s="53" t="s">
        <v>265</v>
      </c>
      <c r="N552" s="53">
        <f t="shared" si="50"/>
        <v>1</v>
      </c>
      <c r="O552" s="54" t="s">
        <v>265</v>
      </c>
      <c r="P552" s="3"/>
      <c r="Q552" s="3"/>
    </row>
    <row r="553" spans="1:17" s="1" customFormat="1" ht="15">
      <c r="A553" s="3"/>
      <c r="B553" s="5"/>
      <c r="C553" s="5"/>
      <c r="D553" s="3"/>
      <c r="E553" s="74"/>
      <c r="F553" s="74"/>
      <c r="G553" s="422"/>
      <c r="H553" s="3"/>
      <c r="I553" s="48" t="s">
        <v>1714</v>
      </c>
      <c r="J553" s="53">
        <f t="shared" si="48"/>
        <v>8.8000000000000007</v>
      </c>
      <c r="K553" s="53" t="s">
        <v>532</v>
      </c>
      <c r="L553" s="53">
        <f t="shared" si="49"/>
        <v>69.099999999999994</v>
      </c>
      <c r="M553" s="53" t="s">
        <v>532</v>
      </c>
      <c r="N553" s="53">
        <f t="shared" si="50"/>
        <v>6.1</v>
      </c>
      <c r="O553" s="54" t="s">
        <v>532</v>
      </c>
      <c r="P553" s="3"/>
      <c r="Q553" s="3"/>
    </row>
    <row r="554" spans="1:17" s="1" customFormat="1" ht="15">
      <c r="A554" s="3"/>
      <c r="B554" s="5"/>
      <c r="C554" s="5"/>
      <c r="D554" s="3"/>
      <c r="E554" s="74"/>
      <c r="F554" s="74"/>
      <c r="G554" s="422"/>
      <c r="H554" s="3"/>
      <c r="I554" s="48" t="s">
        <v>1715</v>
      </c>
      <c r="J554" s="53">
        <f t="shared" si="48"/>
        <v>88.9</v>
      </c>
      <c r="K554" s="53" t="s">
        <v>532</v>
      </c>
      <c r="L554" s="53">
        <f t="shared" si="49"/>
        <v>71.400000000000006</v>
      </c>
      <c r="M554" s="53" t="s">
        <v>532</v>
      </c>
      <c r="N554" s="53">
        <f t="shared" si="50"/>
        <v>63.7</v>
      </c>
      <c r="O554" s="54" t="s">
        <v>532</v>
      </c>
      <c r="P554" s="3"/>
      <c r="Q554" s="3"/>
    </row>
    <row r="555" spans="1:17" s="1" customFormat="1" ht="15">
      <c r="A555" s="3"/>
      <c r="B555" s="5"/>
      <c r="C555" s="5"/>
      <c r="D555" s="3"/>
      <c r="E555" s="74"/>
      <c r="F555" s="74"/>
      <c r="G555" s="422"/>
      <c r="H555" s="3"/>
      <c r="I555" s="48" t="s">
        <v>1636</v>
      </c>
      <c r="J555" s="53">
        <f t="shared" si="48"/>
        <v>12.4</v>
      </c>
      <c r="K555" s="53" t="s">
        <v>532</v>
      </c>
      <c r="L555" s="53">
        <f t="shared" si="49"/>
        <v>86.9</v>
      </c>
      <c r="M555" s="53" t="s">
        <v>532</v>
      </c>
      <c r="N555" s="53">
        <f t="shared" si="50"/>
        <v>10.9</v>
      </c>
      <c r="O555" s="54" t="s">
        <v>532</v>
      </c>
      <c r="P555" s="3"/>
      <c r="Q555" s="3"/>
    </row>
    <row r="556" spans="1:17" s="1" customFormat="1" ht="15">
      <c r="A556" s="3"/>
      <c r="B556" s="5"/>
      <c r="C556" s="5"/>
      <c r="D556" s="3"/>
      <c r="E556" s="74"/>
      <c r="F556" s="74"/>
      <c r="G556" s="422"/>
      <c r="H556" s="3"/>
      <c r="I556" s="48" t="s">
        <v>1535</v>
      </c>
      <c r="J556" s="53">
        <f t="shared" si="48"/>
        <v>17.399999999999999</v>
      </c>
      <c r="K556" s="53" t="s">
        <v>532</v>
      </c>
      <c r="L556" s="53">
        <f t="shared" si="49"/>
        <v>41.3</v>
      </c>
      <c r="M556" s="53" t="s">
        <v>532</v>
      </c>
      <c r="N556" s="53">
        <f t="shared" si="50"/>
        <v>7.5</v>
      </c>
      <c r="O556" s="54" t="s">
        <v>532</v>
      </c>
      <c r="P556" s="3"/>
      <c r="Q556" s="3"/>
    </row>
    <row r="557" spans="1:17" s="1" customFormat="1" ht="16" thickBot="1">
      <c r="A557" s="3"/>
      <c r="B557" s="5"/>
      <c r="C557" s="5"/>
      <c r="D557" s="3"/>
      <c r="E557" s="74"/>
      <c r="F557" s="74"/>
      <c r="G557" s="422"/>
      <c r="H557" s="3"/>
      <c r="I557" s="49" t="s">
        <v>1536</v>
      </c>
      <c r="J557" s="55">
        <f t="shared" si="48"/>
        <v>126.6</v>
      </c>
      <c r="K557" s="55" t="s">
        <v>532</v>
      </c>
      <c r="L557" s="55">
        <f t="shared" si="49"/>
        <v>71.3</v>
      </c>
      <c r="M557" s="55" t="s">
        <v>532</v>
      </c>
      <c r="N557" s="55">
        <f t="shared" si="50"/>
        <v>91</v>
      </c>
      <c r="O557" s="56" t="s">
        <v>532</v>
      </c>
      <c r="P557" s="3"/>
      <c r="Q557" s="3"/>
    </row>
    <row r="558" spans="1:17">
      <c r="I558"/>
      <c r="J558"/>
      <c r="K558"/>
      <c r="L558"/>
      <c r="M558"/>
      <c r="N558"/>
      <c r="O558"/>
    </row>
    <row r="559" spans="1:17">
      <c r="A559" s="296"/>
      <c r="B559" s="296"/>
      <c r="C559" s="296"/>
      <c r="D559" s="296"/>
      <c r="E559" s="301"/>
      <c r="F559" s="301"/>
      <c r="G559" s="301"/>
      <c r="H559" s="296"/>
      <c r="I559" s="296"/>
      <c r="J559" s="296"/>
      <c r="K559" s="296"/>
      <c r="L559" s="296"/>
      <c r="M559" s="296"/>
      <c r="N559" s="296"/>
      <c r="O559" s="296"/>
      <c r="P559" s="296"/>
    </row>
    <row r="560" spans="1:17" s="58" customFormat="1">
      <c r="E560" s="279"/>
      <c r="F560" s="279"/>
      <c r="G560" s="279"/>
    </row>
    <row r="561" spans="1:17">
      <c r="A561" s="19" t="s">
        <v>1783</v>
      </c>
      <c r="B561" s="29" t="s">
        <v>1784</v>
      </c>
      <c r="C561" s="29" t="s">
        <v>1586</v>
      </c>
      <c r="D561" s="19" t="s">
        <v>1627</v>
      </c>
      <c r="E561" s="22">
        <v>1998</v>
      </c>
      <c r="F561" s="22" t="s">
        <v>253</v>
      </c>
      <c r="G561" s="22" t="s">
        <v>253</v>
      </c>
      <c r="H561" s="19" t="s">
        <v>936</v>
      </c>
      <c r="I561" s="19" t="s">
        <v>1398</v>
      </c>
      <c r="J561" s="22">
        <v>117</v>
      </c>
      <c r="K561" s="22" t="s">
        <v>253</v>
      </c>
      <c r="L561" s="22">
        <v>77</v>
      </c>
      <c r="M561" s="22" t="s">
        <v>253</v>
      </c>
      <c r="N561" s="22">
        <v>90</v>
      </c>
      <c r="O561" s="22" t="s">
        <v>253</v>
      </c>
      <c r="P561" s="19" t="s">
        <v>1628</v>
      </c>
      <c r="Q561" s="50"/>
    </row>
    <row r="562" spans="1:17">
      <c r="A562" s="19" t="s">
        <v>1783</v>
      </c>
      <c r="B562" s="29" t="s">
        <v>1629</v>
      </c>
      <c r="C562" s="29" t="s">
        <v>1630</v>
      </c>
      <c r="D562" s="19" t="s">
        <v>1639</v>
      </c>
      <c r="E562" s="22">
        <v>1998</v>
      </c>
      <c r="F562" s="22" t="s">
        <v>253</v>
      </c>
      <c r="G562" s="22" t="s">
        <v>253</v>
      </c>
      <c r="H562" s="19" t="s">
        <v>936</v>
      </c>
      <c r="I562" s="19" t="s">
        <v>1398</v>
      </c>
      <c r="J562" s="22">
        <v>280</v>
      </c>
      <c r="K562" s="22" t="s">
        <v>253</v>
      </c>
      <c r="L562" s="22">
        <v>62</v>
      </c>
      <c r="M562" s="22" t="s">
        <v>253</v>
      </c>
      <c r="N562" s="22">
        <v>174</v>
      </c>
      <c r="O562" s="22" t="s">
        <v>253</v>
      </c>
      <c r="P562" s="19" t="s">
        <v>1640</v>
      </c>
      <c r="Q562" s="50"/>
    </row>
    <row r="563" spans="1:17" ht="14" thickBot="1">
      <c r="A563" s="19" t="s">
        <v>1783</v>
      </c>
      <c r="B563" s="29" t="s">
        <v>1816</v>
      </c>
      <c r="C563" s="29" t="s">
        <v>1630</v>
      </c>
      <c r="D563" s="19" t="s">
        <v>1639</v>
      </c>
      <c r="E563" s="22">
        <v>1998</v>
      </c>
      <c r="F563" s="22" t="s">
        <v>253</v>
      </c>
      <c r="G563" s="22" t="s">
        <v>253</v>
      </c>
      <c r="H563" s="19" t="s">
        <v>936</v>
      </c>
      <c r="I563" s="38" t="s">
        <v>1398</v>
      </c>
      <c r="J563" s="45">
        <v>315</v>
      </c>
      <c r="K563" s="45" t="s">
        <v>253</v>
      </c>
      <c r="L563" s="45">
        <v>30</v>
      </c>
      <c r="M563" s="45" t="s">
        <v>253</v>
      </c>
      <c r="N563" s="45">
        <v>96</v>
      </c>
      <c r="O563" s="45" t="s">
        <v>253</v>
      </c>
      <c r="P563" s="19" t="s">
        <v>1828</v>
      </c>
      <c r="Q563" s="50"/>
    </row>
    <row r="564" spans="1:17" ht="14" thickBot="1">
      <c r="A564" s="3"/>
      <c r="B564" s="5"/>
      <c r="C564" s="5"/>
      <c r="D564" s="3"/>
      <c r="E564" s="74"/>
      <c r="F564" s="74"/>
      <c r="G564" s="74"/>
      <c r="H564" s="3"/>
      <c r="I564" s="90" t="s">
        <v>1099</v>
      </c>
      <c r="J564" s="67">
        <f>ROUND(AVERAGE(J561:J563),1)</f>
        <v>237.3</v>
      </c>
      <c r="K564" s="67">
        <f>ROUND(STDEV(J561:J563),1)</f>
        <v>105.7</v>
      </c>
      <c r="L564" s="67">
        <f>ROUND(AVERAGE(L561:L563),1)</f>
        <v>56.3</v>
      </c>
      <c r="M564" s="67">
        <f>ROUND(STDEV(L561:L563),1)</f>
        <v>24</v>
      </c>
      <c r="N564" s="67">
        <f>ROUND(AVERAGE(N561:N563),1)</f>
        <v>120</v>
      </c>
      <c r="O564" s="68">
        <f>ROUND(STDEV(N561:N563),1)</f>
        <v>46.9</v>
      </c>
      <c r="P564" s="3"/>
      <c r="Q564" s="50"/>
    </row>
    <row r="566" spans="1:17">
      <c r="A566" s="296"/>
      <c r="B566" s="296"/>
      <c r="C566" s="296"/>
      <c r="D566" s="296"/>
      <c r="E566" s="301"/>
      <c r="F566" s="301"/>
      <c r="G566" s="301"/>
      <c r="H566" s="296"/>
      <c r="I566" s="300"/>
      <c r="J566" s="301"/>
      <c r="K566" s="301"/>
      <c r="L566" s="301"/>
      <c r="M566" s="301"/>
      <c r="N566" s="301"/>
      <c r="O566" s="301"/>
      <c r="P566" s="296"/>
    </row>
    <row r="570" spans="1:17">
      <c r="A570" s="321"/>
      <c r="B570" s="321"/>
      <c r="C570" s="321"/>
      <c r="D570" s="321"/>
      <c r="E570" s="317"/>
      <c r="F570" s="317"/>
      <c r="G570" s="317"/>
      <c r="H570" s="321"/>
      <c r="I570" s="321"/>
      <c r="J570" s="321"/>
      <c r="K570" s="321"/>
      <c r="L570" s="321"/>
      <c r="M570" s="321"/>
      <c r="N570" s="321"/>
      <c r="O570" s="321"/>
      <c r="P570" s="321"/>
    </row>
    <row r="571" spans="1:17">
      <c r="I571"/>
      <c r="J571"/>
      <c r="K571"/>
      <c r="L571"/>
      <c r="M571"/>
      <c r="N571"/>
      <c r="O571"/>
    </row>
    <row r="572" spans="1:17">
      <c r="A572" s="19" t="s">
        <v>1737</v>
      </c>
      <c r="B572" s="29" t="s">
        <v>1738</v>
      </c>
      <c r="C572" s="29" t="s">
        <v>1739</v>
      </c>
      <c r="D572" s="19" t="s">
        <v>1541</v>
      </c>
      <c r="E572" s="22" t="s">
        <v>1554</v>
      </c>
      <c r="F572" s="425">
        <v>38812</v>
      </c>
      <c r="G572" s="24" t="s">
        <v>1555</v>
      </c>
      <c r="H572" s="19" t="s">
        <v>554</v>
      </c>
      <c r="I572" s="19" t="s">
        <v>1717</v>
      </c>
      <c r="J572" s="22">
        <v>93.91</v>
      </c>
      <c r="K572" s="22" t="s">
        <v>1555</v>
      </c>
      <c r="L572" s="22" t="s">
        <v>1555</v>
      </c>
      <c r="M572" s="22" t="s">
        <v>1555</v>
      </c>
      <c r="N572" s="22" t="s">
        <v>1555</v>
      </c>
      <c r="O572" s="22" t="s">
        <v>1555</v>
      </c>
      <c r="P572" s="19" t="s">
        <v>1556</v>
      </c>
      <c r="Q572" s="140"/>
    </row>
    <row r="573" spans="1:17">
      <c r="A573" s="19" t="s">
        <v>1737</v>
      </c>
      <c r="B573" s="29" t="s">
        <v>1738</v>
      </c>
      <c r="C573" s="29" t="s">
        <v>1739</v>
      </c>
      <c r="D573" s="19" t="s">
        <v>1551</v>
      </c>
      <c r="E573" s="22" t="s">
        <v>1375</v>
      </c>
      <c r="F573" s="425">
        <v>38812</v>
      </c>
      <c r="G573" s="24" t="s">
        <v>1555</v>
      </c>
      <c r="H573" s="19" t="s">
        <v>554</v>
      </c>
      <c r="I573" s="19" t="s">
        <v>1398</v>
      </c>
      <c r="J573" s="22">
        <v>116.32</v>
      </c>
      <c r="K573" s="22" t="s">
        <v>1555</v>
      </c>
      <c r="L573" s="22" t="s">
        <v>1555</v>
      </c>
      <c r="M573" s="22" t="s">
        <v>1555</v>
      </c>
      <c r="N573" s="22" t="s">
        <v>1555</v>
      </c>
      <c r="O573" s="22" t="s">
        <v>1555</v>
      </c>
      <c r="P573" s="19" t="s">
        <v>1411</v>
      </c>
      <c r="Q573" s="140"/>
    </row>
    <row r="574" spans="1:17" ht="14" thickBot="1">
      <c r="A574" s="19" t="s">
        <v>1737</v>
      </c>
      <c r="B574" s="29" t="s">
        <v>1738</v>
      </c>
      <c r="C574" s="29" t="s">
        <v>1739</v>
      </c>
      <c r="D574" s="19" t="s">
        <v>1551</v>
      </c>
      <c r="E574" s="22" t="s">
        <v>1375</v>
      </c>
      <c r="F574" s="425">
        <v>38812</v>
      </c>
      <c r="G574" s="22" t="s">
        <v>1555</v>
      </c>
      <c r="H574" s="19" t="s">
        <v>554</v>
      </c>
      <c r="I574" s="19" t="s">
        <v>1398</v>
      </c>
      <c r="J574" s="22">
        <v>126.46</v>
      </c>
      <c r="K574" s="22" t="s">
        <v>1555</v>
      </c>
      <c r="L574" s="22" t="s">
        <v>1555</v>
      </c>
      <c r="M574" s="22" t="s">
        <v>1555</v>
      </c>
      <c r="N574" s="22" t="s">
        <v>1555</v>
      </c>
      <c r="O574" s="22" t="s">
        <v>1555</v>
      </c>
      <c r="P574" s="19" t="s">
        <v>1412</v>
      </c>
      <c r="Q574" s="140"/>
    </row>
    <row r="575" spans="1:17" ht="14" thickBot="1">
      <c r="A575" s="3"/>
      <c r="B575" s="5"/>
      <c r="C575" s="5"/>
      <c r="D575" s="3"/>
      <c r="E575" s="74"/>
      <c r="F575" s="426"/>
      <c r="G575" s="420"/>
      <c r="H575" s="3"/>
      <c r="I575" s="90" t="s">
        <v>1098</v>
      </c>
      <c r="J575" s="67">
        <f>ROUND(AVERAGE(J572:J574),1)</f>
        <v>112.2</v>
      </c>
      <c r="K575" s="67">
        <f>ROUND(STDEV(J572:J574),1)</f>
        <v>16.7</v>
      </c>
      <c r="L575" s="67" t="s">
        <v>253</v>
      </c>
      <c r="M575" s="67" t="s">
        <v>253</v>
      </c>
      <c r="N575" s="67" t="s">
        <v>253</v>
      </c>
      <c r="O575" s="68" t="s">
        <v>253</v>
      </c>
      <c r="P575" s="3"/>
      <c r="Q575" s="140"/>
    </row>
    <row r="576" spans="1:17">
      <c r="I576"/>
      <c r="J576"/>
      <c r="K576"/>
      <c r="L576"/>
      <c r="M576"/>
      <c r="N576"/>
      <c r="O576"/>
    </row>
    <row r="577" spans="1:17">
      <c r="A577" s="321"/>
      <c r="B577" s="321"/>
      <c r="C577" s="321"/>
      <c r="D577" s="321"/>
      <c r="E577" s="317"/>
      <c r="F577" s="317"/>
      <c r="G577" s="317"/>
      <c r="H577" s="321"/>
      <c r="I577" s="321"/>
      <c r="J577" s="321"/>
      <c r="K577" s="321"/>
      <c r="L577" s="321"/>
      <c r="M577" s="321"/>
      <c r="N577" s="321"/>
      <c r="O577" s="321"/>
      <c r="P577" s="321"/>
    </row>
    <row r="578" spans="1:17">
      <c r="I578"/>
      <c r="J578"/>
      <c r="K578"/>
      <c r="L578"/>
      <c r="M578"/>
      <c r="N578"/>
      <c r="O578"/>
    </row>
    <row r="579" spans="1:17" s="102" customFormat="1" ht="15">
      <c r="A579" s="128" t="s">
        <v>972</v>
      </c>
      <c r="B579" s="129" t="s">
        <v>973</v>
      </c>
      <c r="C579" s="129" t="s">
        <v>1292</v>
      </c>
      <c r="D579" s="128" t="s">
        <v>1405</v>
      </c>
      <c r="E579" s="75" t="s">
        <v>986</v>
      </c>
      <c r="F579" s="75" t="s">
        <v>986</v>
      </c>
      <c r="G579" s="75" t="s">
        <v>986</v>
      </c>
      <c r="H579" s="130" t="s">
        <v>997</v>
      </c>
      <c r="I579" s="130" t="s">
        <v>1398</v>
      </c>
      <c r="J579" s="129">
        <v>32.1</v>
      </c>
      <c r="K579" s="75" t="s">
        <v>986</v>
      </c>
      <c r="L579" s="75" t="s">
        <v>986</v>
      </c>
      <c r="M579" s="75" t="s">
        <v>986</v>
      </c>
      <c r="N579" s="75" t="s">
        <v>986</v>
      </c>
      <c r="O579" s="75" t="s">
        <v>986</v>
      </c>
      <c r="P579" s="131" t="s">
        <v>350</v>
      </c>
      <c r="Q579" s="101"/>
    </row>
    <row r="580" spans="1:17" s="102" customFormat="1" ht="15">
      <c r="A580" s="128" t="s">
        <v>972</v>
      </c>
      <c r="B580" s="129" t="s">
        <v>973</v>
      </c>
      <c r="C580" s="129" t="s">
        <v>1292</v>
      </c>
      <c r="D580" s="128" t="s">
        <v>1405</v>
      </c>
      <c r="E580" s="75" t="s">
        <v>986</v>
      </c>
      <c r="F580" s="75" t="s">
        <v>986</v>
      </c>
      <c r="G580" s="75" t="s">
        <v>986</v>
      </c>
      <c r="H580" s="130" t="s">
        <v>997</v>
      </c>
      <c r="I580" s="130" t="s">
        <v>1398</v>
      </c>
      <c r="J580" s="129">
        <v>27.7</v>
      </c>
      <c r="K580" s="75" t="s">
        <v>986</v>
      </c>
      <c r="L580" s="75" t="s">
        <v>986</v>
      </c>
      <c r="M580" s="75" t="s">
        <v>986</v>
      </c>
      <c r="N580" s="75" t="s">
        <v>986</v>
      </c>
      <c r="O580" s="75" t="s">
        <v>986</v>
      </c>
      <c r="P580" s="131" t="s">
        <v>91</v>
      </c>
      <c r="Q580" s="101"/>
    </row>
    <row r="581" spans="1:17" s="102" customFormat="1" ht="15">
      <c r="A581" s="128" t="s">
        <v>972</v>
      </c>
      <c r="B581" s="129" t="s">
        <v>973</v>
      </c>
      <c r="C581" s="129" t="s">
        <v>1292</v>
      </c>
      <c r="D581" s="128" t="s">
        <v>1405</v>
      </c>
      <c r="E581" s="75" t="s">
        <v>986</v>
      </c>
      <c r="F581" s="75" t="s">
        <v>986</v>
      </c>
      <c r="G581" s="75" t="s">
        <v>986</v>
      </c>
      <c r="H581" s="130" t="s">
        <v>997</v>
      </c>
      <c r="I581" s="130" t="s">
        <v>1398</v>
      </c>
      <c r="J581" s="129">
        <v>26.3</v>
      </c>
      <c r="K581" s="75" t="s">
        <v>986</v>
      </c>
      <c r="L581" s="75" t="s">
        <v>986</v>
      </c>
      <c r="M581" s="75" t="s">
        <v>986</v>
      </c>
      <c r="N581" s="75" t="s">
        <v>986</v>
      </c>
      <c r="O581" s="75" t="s">
        <v>986</v>
      </c>
      <c r="P581" s="131" t="s">
        <v>349</v>
      </c>
      <c r="Q581" s="101"/>
    </row>
    <row r="582" spans="1:17" s="102" customFormat="1" ht="15">
      <c r="A582" s="128" t="s">
        <v>972</v>
      </c>
      <c r="B582" s="129" t="s">
        <v>973</v>
      </c>
      <c r="C582" s="129" t="s">
        <v>1292</v>
      </c>
      <c r="D582" s="128" t="s">
        <v>1405</v>
      </c>
      <c r="E582" s="75" t="s">
        <v>986</v>
      </c>
      <c r="F582" s="75" t="s">
        <v>986</v>
      </c>
      <c r="G582" s="75" t="s">
        <v>986</v>
      </c>
      <c r="H582" s="130" t="s">
        <v>997</v>
      </c>
      <c r="I582" s="130" t="s">
        <v>1398</v>
      </c>
      <c r="J582" s="129">
        <v>24</v>
      </c>
      <c r="K582" s="75" t="s">
        <v>986</v>
      </c>
      <c r="L582" s="75" t="s">
        <v>986</v>
      </c>
      <c r="M582" s="75" t="s">
        <v>986</v>
      </c>
      <c r="N582" s="75" t="s">
        <v>986</v>
      </c>
      <c r="O582" s="75" t="s">
        <v>986</v>
      </c>
      <c r="P582" s="131" t="s">
        <v>349</v>
      </c>
      <c r="Q582" s="101"/>
    </row>
    <row r="583" spans="1:17" s="102" customFormat="1" ht="15">
      <c r="A583" s="128" t="s">
        <v>972</v>
      </c>
      <c r="B583" s="129" t="s">
        <v>973</v>
      </c>
      <c r="C583" s="129" t="s">
        <v>1292</v>
      </c>
      <c r="D583" s="128" t="s">
        <v>1405</v>
      </c>
      <c r="E583" s="75" t="s">
        <v>986</v>
      </c>
      <c r="F583" s="75" t="s">
        <v>986</v>
      </c>
      <c r="G583" s="75" t="s">
        <v>986</v>
      </c>
      <c r="H583" s="130" t="s">
        <v>997</v>
      </c>
      <c r="I583" s="130" t="s">
        <v>1398</v>
      </c>
      <c r="J583" s="129">
        <v>22</v>
      </c>
      <c r="K583" s="75" t="s">
        <v>986</v>
      </c>
      <c r="L583" s="75" t="s">
        <v>986</v>
      </c>
      <c r="M583" s="75" t="s">
        <v>986</v>
      </c>
      <c r="N583" s="75" t="s">
        <v>986</v>
      </c>
      <c r="O583" s="75" t="s">
        <v>986</v>
      </c>
      <c r="P583" s="131" t="s">
        <v>91</v>
      </c>
      <c r="Q583" s="101"/>
    </row>
    <row r="584" spans="1:17" s="102" customFormat="1" ht="15">
      <c r="A584" s="128" t="s">
        <v>972</v>
      </c>
      <c r="B584" s="129" t="s">
        <v>973</v>
      </c>
      <c r="C584" s="129" t="s">
        <v>1292</v>
      </c>
      <c r="D584" s="128" t="s">
        <v>1405</v>
      </c>
      <c r="E584" s="75" t="s">
        <v>986</v>
      </c>
      <c r="F584" s="75" t="s">
        <v>986</v>
      </c>
      <c r="G584" s="75" t="s">
        <v>986</v>
      </c>
      <c r="H584" s="130" t="s">
        <v>997</v>
      </c>
      <c r="I584" s="130" t="s">
        <v>1398</v>
      </c>
      <c r="J584" s="129">
        <v>20</v>
      </c>
      <c r="K584" s="75" t="s">
        <v>986</v>
      </c>
      <c r="L584" s="75" t="s">
        <v>986</v>
      </c>
      <c r="M584" s="75" t="s">
        <v>986</v>
      </c>
      <c r="N584" s="75" t="s">
        <v>986</v>
      </c>
      <c r="O584" s="75" t="s">
        <v>986</v>
      </c>
      <c r="P584" s="131" t="s">
        <v>92</v>
      </c>
      <c r="Q584" s="101"/>
    </row>
    <row r="585" spans="1:17" s="102" customFormat="1" ht="16" thickBot="1">
      <c r="A585" s="128" t="s">
        <v>972</v>
      </c>
      <c r="B585" s="129" t="s">
        <v>973</v>
      </c>
      <c r="C585" s="129" t="s">
        <v>1292</v>
      </c>
      <c r="D585" s="128" t="s">
        <v>1405</v>
      </c>
      <c r="E585" s="75" t="s">
        <v>986</v>
      </c>
      <c r="F585" s="75" t="s">
        <v>986</v>
      </c>
      <c r="G585" s="75" t="s">
        <v>986</v>
      </c>
      <c r="H585" s="130" t="s">
        <v>997</v>
      </c>
      <c r="I585" s="137" t="s">
        <v>1398</v>
      </c>
      <c r="J585" s="136">
        <v>1.5</v>
      </c>
      <c r="K585" s="93" t="s">
        <v>986</v>
      </c>
      <c r="L585" s="93" t="s">
        <v>986</v>
      </c>
      <c r="M585" s="93" t="s">
        <v>986</v>
      </c>
      <c r="N585" s="93" t="s">
        <v>986</v>
      </c>
      <c r="O585" s="93" t="s">
        <v>986</v>
      </c>
      <c r="P585" s="131" t="s">
        <v>37</v>
      </c>
      <c r="Q585" s="101"/>
    </row>
    <row r="586" spans="1:17" s="102" customFormat="1" ht="16" thickBot="1">
      <c r="A586" s="103"/>
      <c r="B586" s="104"/>
      <c r="C586" s="104"/>
      <c r="D586" s="103"/>
      <c r="E586" s="105"/>
      <c r="F586" s="105"/>
      <c r="G586" s="105"/>
      <c r="H586" s="106"/>
      <c r="I586" s="134" t="s">
        <v>1417</v>
      </c>
      <c r="J586" s="135">
        <f>ROUND(AVERAGE(J579:J585),1)</f>
        <v>21.9</v>
      </c>
      <c r="K586" s="94">
        <f>ROUND(STDEV(J579:J585),1)</f>
        <v>9.8000000000000007</v>
      </c>
      <c r="L586" s="94" t="s">
        <v>253</v>
      </c>
      <c r="M586" s="94" t="s">
        <v>253</v>
      </c>
      <c r="N586" s="94" t="s">
        <v>253</v>
      </c>
      <c r="O586" s="95" t="s">
        <v>253</v>
      </c>
      <c r="P586" s="107"/>
      <c r="Q586" s="103"/>
    </row>
    <row r="587" spans="1:17" s="108" customFormat="1" ht="15">
      <c r="A587" s="103"/>
      <c r="B587" s="104"/>
      <c r="C587" s="104"/>
      <c r="D587" s="103"/>
      <c r="E587" s="105"/>
      <c r="F587" s="105"/>
      <c r="G587" s="105"/>
      <c r="H587" s="106"/>
      <c r="I587" s="106"/>
      <c r="J587" s="104"/>
      <c r="K587" s="105"/>
      <c r="L587" s="105"/>
      <c r="M587" s="105"/>
      <c r="N587" s="105"/>
      <c r="O587" s="105"/>
      <c r="P587" s="107"/>
      <c r="Q587" s="101"/>
    </row>
    <row r="588" spans="1:17" s="108" customFormat="1" ht="15">
      <c r="A588" s="314"/>
      <c r="B588" s="313"/>
      <c r="C588" s="313"/>
      <c r="D588" s="314"/>
      <c r="E588" s="318"/>
      <c r="F588" s="318"/>
      <c r="G588" s="318"/>
      <c r="H588" s="316"/>
      <c r="I588" s="316"/>
      <c r="J588" s="313"/>
      <c r="K588" s="318"/>
      <c r="L588" s="318"/>
      <c r="M588" s="318"/>
      <c r="N588" s="318"/>
      <c r="O588" s="318"/>
      <c r="P588" s="319"/>
      <c r="Q588" s="101"/>
    </row>
    <row r="589" spans="1:17" s="108" customFormat="1" ht="15">
      <c r="A589" s="103"/>
      <c r="B589" s="104"/>
      <c r="C589" s="104"/>
      <c r="D589" s="103"/>
      <c r="E589" s="105"/>
      <c r="F589" s="105"/>
      <c r="G589" s="105"/>
      <c r="H589" s="106"/>
      <c r="I589" s="106"/>
      <c r="J589" s="104"/>
      <c r="K589" s="105"/>
      <c r="L589" s="105"/>
      <c r="M589" s="105"/>
      <c r="N589" s="105"/>
      <c r="O589" s="105"/>
      <c r="P589" s="107"/>
      <c r="Q589" s="101"/>
    </row>
    <row r="590" spans="1:17" s="102" customFormat="1" ht="15">
      <c r="A590" s="128" t="s">
        <v>1404</v>
      </c>
      <c r="B590" s="129" t="s">
        <v>1394</v>
      </c>
      <c r="C590" s="129" t="s">
        <v>1395</v>
      </c>
      <c r="D590" s="128" t="s">
        <v>1194</v>
      </c>
      <c r="E590" s="75" t="s">
        <v>986</v>
      </c>
      <c r="F590" s="75" t="s">
        <v>986</v>
      </c>
      <c r="G590" s="75" t="s">
        <v>986</v>
      </c>
      <c r="H590" s="130" t="s">
        <v>997</v>
      </c>
      <c r="I590" s="130" t="s">
        <v>1398</v>
      </c>
      <c r="J590" s="129">
        <f>8.9+1.4+30.3+0</f>
        <v>40.6</v>
      </c>
      <c r="K590" s="75" t="s">
        <v>986</v>
      </c>
      <c r="L590" s="75" t="s">
        <v>986</v>
      </c>
      <c r="M590" s="75" t="s">
        <v>986</v>
      </c>
      <c r="N590" s="75" t="s">
        <v>986</v>
      </c>
      <c r="O590" s="75" t="s">
        <v>986</v>
      </c>
      <c r="P590" s="131" t="s">
        <v>38</v>
      </c>
      <c r="Q590" s="101"/>
    </row>
    <row r="591" spans="1:17" s="102" customFormat="1" ht="15">
      <c r="A591" s="128" t="s">
        <v>1404</v>
      </c>
      <c r="B591" s="129" t="s">
        <v>1394</v>
      </c>
      <c r="C591" s="129" t="s">
        <v>1395</v>
      </c>
      <c r="D591" s="128" t="s">
        <v>1194</v>
      </c>
      <c r="E591" s="75" t="s">
        <v>986</v>
      </c>
      <c r="F591" s="75" t="s">
        <v>986</v>
      </c>
      <c r="G591" s="75" t="s">
        <v>986</v>
      </c>
      <c r="H591" s="130" t="s">
        <v>997</v>
      </c>
      <c r="I591" s="130" t="s">
        <v>1398</v>
      </c>
      <c r="J591" s="129">
        <f>8.4+1.4+28.4+0.1</f>
        <v>38.300000000000004</v>
      </c>
      <c r="K591" s="75" t="s">
        <v>986</v>
      </c>
      <c r="L591" s="75" t="s">
        <v>986</v>
      </c>
      <c r="M591" s="75" t="s">
        <v>986</v>
      </c>
      <c r="N591" s="75" t="s">
        <v>986</v>
      </c>
      <c r="O591" s="75" t="s">
        <v>986</v>
      </c>
      <c r="P591" s="131" t="s">
        <v>38</v>
      </c>
      <c r="Q591" s="101"/>
    </row>
    <row r="592" spans="1:17" s="102" customFormat="1" ht="15">
      <c r="A592" s="128" t="s">
        <v>1404</v>
      </c>
      <c r="B592" s="129" t="s">
        <v>1394</v>
      </c>
      <c r="C592" s="129" t="s">
        <v>1395</v>
      </c>
      <c r="D592" s="128" t="s">
        <v>1194</v>
      </c>
      <c r="E592" s="75" t="s">
        <v>986</v>
      </c>
      <c r="F592" s="75" t="s">
        <v>986</v>
      </c>
      <c r="G592" s="75" t="s">
        <v>986</v>
      </c>
      <c r="H592" s="130" t="s">
        <v>997</v>
      </c>
      <c r="I592" s="130" t="s">
        <v>1398</v>
      </c>
      <c r="J592" s="129">
        <f>7.8+1.4+26+0.2</f>
        <v>35.400000000000006</v>
      </c>
      <c r="K592" s="75" t="s">
        <v>986</v>
      </c>
      <c r="L592" s="75" t="s">
        <v>986</v>
      </c>
      <c r="M592" s="75" t="s">
        <v>986</v>
      </c>
      <c r="N592" s="75" t="s">
        <v>986</v>
      </c>
      <c r="O592" s="75" t="s">
        <v>986</v>
      </c>
      <c r="P592" s="131" t="s">
        <v>38</v>
      </c>
      <c r="Q592" s="101"/>
    </row>
    <row r="593" spans="1:17" s="102" customFormat="1" ht="15">
      <c r="A593" s="128" t="s">
        <v>1404</v>
      </c>
      <c r="B593" s="129" t="s">
        <v>1394</v>
      </c>
      <c r="C593" s="129" t="s">
        <v>1395</v>
      </c>
      <c r="D593" s="128" t="s">
        <v>1194</v>
      </c>
      <c r="E593" s="75" t="s">
        <v>986</v>
      </c>
      <c r="F593" s="75" t="s">
        <v>986</v>
      </c>
      <c r="G593" s="75" t="s">
        <v>986</v>
      </c>
      <c r="H593" s="130" t="s">
        <v>997</v>
      </c>
      <c r="I593" s="130" t="s">
        <v>1398</v>
      </c>
      <c r="J593" s="129">
        <f>7+1.3+23+0.4</f>
        <v>31.7</v>
      </c>
      <c r="K593" s="75" t="s">
        <v>986</v>
      </c>
      <c r="L593" s="75" t="s">
        <v>986</v>
      </c>
      <c r="M593" s="75" t="s">
        <v>986</v>
      </c>
      <c r="N593" s="75" t="s">
        <v>986</v>
      </c>
      <c r="O593" s="75" t="s">
        <v>986</v>
      </c>
      <c r="P593" s="131" t="s">
        <v>38</v>
      </c>
      <c r="Q593" s="101"/>
    </row>
    <row r="594" spans="1:17" s="102" customFormat="1" ht="15">
      <c r="A594" s="128" t="s">
        <v>1404</v>
      </c>
      <c r="B594" s="129" t="s">
        <v>1394</v>
      </c>
      <c r="C594" s="129" t="s">
        <v>1395</v>
      </c>
      <c r="D594" s="128" t="s">
        <v>1194</v>
      </c>
      <c r="E594" s="75" t="s">
        <v>986</v>
      </c>
      <c r="F594" s="75" t="s">
        <v>986</v>
      </c>
      <c r="G594" s="75" t="s">
        <v>986</v>
      </c>
      <c r="H594" s="130" t="s">
        <v>997</v>
      </c>
      <c r="I594" s="130" t="s">
        <v>1398</v>
      </c>
      <c r="J594" s="129">
        <f>5.9+1.3+18.7+0.6</f>
        <v>26.5</v>
      </c>
      <c r="K594" s="75" t="s">
        <v>986</v>
      </c>
      <c r="L594" s="75" t="s">
        <v>986</v>
      </c>
      <c r="M594" s="75" t="s">
        <v>986</v>
      </c>
      <c r="N594" s="75" t="s">
        <v>986</v>
      </c>
      <c r="O594" s="75" t="s">
        <v>986</v>
      </c>
      <c r="P594" s="131" t="s">
        <v>38</v>
      </c>
      <c r="Q594" s="101"/>
    </row>
    <row r="595" spans="1:17" s="102" customFormat="1" ht="16" thickBot="1">
      <c r="A595" s="128" t="s">
        <v>1404</v>
      </c>
      <c r="B595" s="129" t="s">
        <v>1394</v>
      </c>
      <c r="C595" s="129" t="s">
        <v>1395</v>
      </c>
      <c r="D595" s="128" t="s">
        <v>1194</v>
      </c>
      <c r="E595" s="75" t="s">
        <v>986</v>
      </c>
      <c r="F595" s="75" t="s">
        <v>986</v>
      </c>
      <c r="G595" s="75" t="s">
        <v>986</v>
      </c>
      <c r="H595" s="130" t="s">
        <v>997</v>
      </c>
      <c r="I595" s="137" t="s">
        <v>1398</v>
      </c>
      <c r="J595" s="136">
        <f>4+1.3+11.5+0.9</f>
        <v>17.7</v>
      </c>
      <c r="K595" s="93" t="s">
        <v>986</v>
      </c>
      <c r="L595" s="93" t="s">
        <v>986</v>
      </c>
      <c r="M595" s="93" t="s">
        <v>986</v>
      </c>
      <c r="N595" s="93" t="s">
        <v>986</v>
      </c>
      <c r="O595" s="93" t="s">
        <v>986</v>
      </c>
      <c r="P595" s="131" t="s">
        <v>38</v>
      </c>
      <c r="Q595" s="101"/>
    </row>
    <row r="596" spans="1:17" s="102" customFormat="1" ht="16" thickBot="1">
      <c r="A596" s="103"/>
      <c r="B596" s="104"/>
      <c r="C596" s="104"/>
      <c r="D596" s="103"/>
      <c r="E596" s="105"/>
      <c r="F596" s="105"/>
      <c r="G596" s="105"/>
      <c r="H596" s="106"/>
      <c r="I596" s="134" t="s">
        <v>1416</v>
      </c>
      <c r="J596" s="135">
        <f>AVERAGE(J590:J595)</f>
        <v>31.7</v>
      </c>
      <c r="K596" s="94">
        <f>STDEV(J590:J595)</f>
        <v>8.4793867702800512</v>
      </c>
      <c r="L596" s="94" t="s">
        <v>253</v>
      </c>
      <c r="M596" s="94" t="s">
        <v>253</v>
      </c>
      <c r="N596" s="94" t="s">
        <v>253</v>
      </c>
      <c r="O596" s="95" t="s">
        <v>253</v>
      </c>
      <c r="P596" s="107"/>
      <c r="Q596" s="103"/>
    </row>
    <row r="597" spans="1:17">
      <c r="I597"/>
    </row>
    <row r="598" spans="1:17">
      <c r="A598" s="321"/>
      <c r="B598" s="321"/>
      <c r="C598" s="321"/>
      <c r="D598" s="321"/>
      <c r="E598" s="317"/>
      <c r="F598" s="317"/>
      <c r="G598" s="317"/>
      <c r="H598" s="321"/>
      <c r="I598" s="321"/>
      <c r="J598" s="317"/>
      <c r="K598" s="317"/>
      <c r="L598" s="317"/>
      <c r="M598" s="317"/>
      <c r="N598" s="317"/>
      <c r="O598" s="317"/>
      <c r="P598" s="321"/>
    </row>
    <row r="599" spans="1:17" s="58" customFormat="1">
      <c r="E599" s="279"/>
      <c r="F599" s="279"/>
      <c r="G599" s="279"/>
      <c r="J599" s="279"/>
      <c r="K599" s="279"/>
      <c r="L599" s="279"/>
      <c r="M599" s="279"/>
      <c r="N599" s="279"/>
      <c r="O599" s="279"/>
    </row>
    <row r="600" spans="1:17" s="58" customFormat="1">
      <c r="E600" s="279"/>
      <c r="F600" s="279"/>
      <c r="G600" s="279"/>
      <c r="J600" s="279"/>
      <c r="K600" s="279"/>
      <c r="L600" s="279"/>
      <c r="M600" s="279"/>
      <c r="N600" s="279"/>
      <c r="O600" s="279"/>
    </row>
    <row r="601" spans="1:17" ht="14" thickBot="1"/>
    <row r="602" spans="1:17" ht="14" thickBot="1">
      <c r="A602" s="537" t="s">
        <v>2090</v>
      </c>
      <c r="B602" s="538"/>
      <c r="C602" s="538"/>
      <c r="D602" s="539"/>
      <c r="H602" s="296" t="s">
        <v>31</v>
      </c>
      <c r="I602" s="352" t="s">
        <v>1998</v>
      </c>
      <c r="J602" s="353">
        <f>ROUND(AVERAGE(J31,J39,J74,J124,J175,J188,J236,J249,J263,J278,J299,J317,J395,J413,J426,J471,J481,J491,J499,J503,J557,J564),1)</f>
        <v>284.7</v>
      </c>
      <c r="K602" s="353">
        <f>ROUND(STDEV(J31,J39,J74,J124,J175,J188,J236,J249,J263,J278,J299,J317,J395,J413,J426,J471,J481,J491,J499,J503,J557,J564),1)</f>
        <v>137.4</v>
      </c>
      <c r="L602" s="353">
        <f>ROUND(AVERAGE(L31,L39,L74,L124,L175,L188,L236,L249,L263,L278,L299,L317,L395,L413,L426,L471,L481,L491,L499,L503,L557,L564),1)</f>
        <v>48.6</v>
      </c>
      <c r="M602" s="353">
        <f>ROUND(STDEV(L31,L39,L74,L124,L175,L188,L236,L249,L263,L278,L299,L317,L395,L413,L426,L471,L481,L491,L499,L503,L557,L564),1)</f>
        <v>21.9</v>
      </c>
      <c r="N602" s="353">
        <f>ROUND(AVERAGE(N31,N39,N74,N124,N175,N188,N236,N249,N263,N278,N299,N317,N395,N413,N426,N471,N481,N491,N499,N503,N557,N564),1)</f>
        <v>125.5</v>
      </c>
      <c r="O602" s="354">
        <f>ROUND(STDEV(N31,N39,N74,N124,N175,N188,N236,N249,N263,N278,N299,N317,N395,N413,N426,N471,N481,N491,N499,N503,N557,N564),1)</f>
        <v>77</v>
      </c>
    </row>
    <row r="603" spans="1:17" ht="14" thickBot="1">
      <c r="A603" s="540" t="s">
        <v>2065</v>
      </c>
      <c r="B603" s="541"/>
      <c r="C603" s="541"/>
      <c r="D603" s="542"/>
      <c r="H603" s="296" t="s">
        <v>105</v>
      </c>
      <c r="I603" s="369" t="s">
        <v>1999</v>
      </c>
      <c r="J603" s="357">
        <f>ROUND(AVERAGE(J31,J39,J124,J175,J188,J236,J249,J263,J278,J299,J317,J395,J413,J426,J471,J481,J491,J499),1)</f>
        <v>301.3</v>
      </c>
      <c r="K603" s="357">
        <f>ROUND(STDEV(J31,J39,J124,J175,J188,J236,J249,J263,J278,J299,J317,J395,J413,J426,J471,J481,J491,J499),1)</f>
        <v>134.1</v>
      </c>
      <c r="L603" s="357">
        <f>ROUND(AVERAGE(L31,L39,L124,L175,L188,L236,L249,L263,L278,L299,L317,L395,L413,L426,L471,L481,L491,L499),1)</f>
        <v>42.2</v>
      </c>
      <c r="M603" s="357">
        <f>ROUND(STDEV(L31,L39,L124,L175,L188,L236,L249,L263,L278,L299,L317,L395,L413,L426,L471,L481,L491,L499),1)</f>
        <v>17.399999999999999</v>
      </c>
      <c r="N603" s="357">
        <f>ROUND(AVERAGE(N31,N39,N124,N175,N188,N236,N249,N263,N278,N299,N317,N395,N413,N426,N471,N481,N491,N499),1)</f>
        <v>117</v>
      </c>
      <c r="O603" s="358">
        <f>ROUND(STDEV(N31,N39,N124,N175,N188,N236,N249,N263,N278,N299,N317,N395,N413,N426,N471,N481,N491,N499),1)</f>
        <v>56.1</v>
      </c>
    </row>
    <row r="604" spans="1:17">
      <c r="H604" s="296" t="s">
        <v>105</v>
      </c>
      <c r="I604" s="369" t="s">
        <v>1709</v>
      </c>
      <c r="J604" s="371">
        <f>ROUND(AVERAGE(J503,J557),1)</f>
        <v>264.8</v>
      </c>
      <c r="K604" s="371" t="s">
        <v>1952</v>
      </c>
      <c r="L604" s="371">
        <f>ROUND(AVERAGE(L503,L557),1)</f>
        <v>83.2</v>
      </c>
      <c r="M604" s="371" t="s">
        <v>1952</v>
      </c>
      <c r="N604" s="371">
        <f>ROUND(AVERAGE(N503,N557),1)</f>
        <v>235.5</v>
      </c>
      <c r="O604" s="372" t="s">
        <v>1952</v>
      </c>
    </row>
    <row r="605" spans="1:17" ht="14" thickBot="1">
      <c r="H605" s="296" t="s">
        <v>105</v>
      </c>
      <c r="I605" s="370" t="s">
        <v>1681</v>
      </c>
      <c r="J605" s="373">
        <v>237.3</v>
      </c>
      <c r="K605" s="373">
        <v>105.7</v>
      </c>
      <c r="L605" s="373">
        <v>56.3</v>
      </c>
      <c r="M605" s="373">
        <v>24</v>
      </c>
      <c r="N605" s="373">
        <v>120</v>
      </c>
      <c r="O605" s="374">
        <v>46.9</v>
      </c>
    </row>
    <row r="606" spans="1:17" ht="14" thickBot="1"/>
    <row r="607" spans="1:17">
      <c r="H607" s="543" t="s">
        <v>106</v>
      </c>
      <c r="I607" s="627" t="s">
        <v>102</v>
      </c>
      <c r="J607" s="628">
        <f>ROUND(AVERAGE(J74,J557),1)</f>
        <v>100.2</v>
      </c>
      <c r="K607" s="628" t="s">
        <v>107</v>
      </c>
      <c r="L607" s="628">
        <f t="shared" ref="L607" si="51">ROUND(AVERAGE(L74,L557),1)</f>
        <v>79.099999999999994</v>
      </c>
      <c r="M607" s="628" t="s">
        <v>107</v>
      </c>
      <c r="N607" s="628">
        <f>ROUND(AVERAGE(N74,N557),1)</f>
        <v>77.599999999999994</v>
      </c>
      <c r="O607" s="635" t="s">
        <v>108</v>
      </c>
    </row>
    <row r="608" spans="1:17">
      <c r="H608" s="543" t="s">
        <v>105</v>
      </c>
      <c r="I608" s="629" t="s">
        <v>103</v>
      </c>
      <c r="J608" s="630">
        <f>ROUND(AVERAGE(J31,J39,J124,J175,J188,J236,J249,J263,J278,J299,J426,J471,J481,J491,J499,J503,J564),1)</f>
        <v>338.9</v>
      </c>
      <c r="K608" s="630">
        <f>ROUND(STDEV(J31,J39,J124,J175,J188,J236,J249,J263,J278,J299,J426,J471,J481,J491,J499,J503,J564),1)</f>
        <v>104.3</v>
      </c>
      <c r="L608" s="630">
        <f>ROUND(AVERAGE(L31,L39,L124,L175,L188,L236,L249,L263,L278,L299,L426,L471,L481,L491,L499,L503,L564),1)</f>
        <v>42.7</v>
      </c>
      <c r="M608" s="630">
        <f>ROUND(STDEV(L31,L39,L124,L175,L188,L236,L249,L263,L278,L299,L426,L471,L481,L491,L499,L503,L564),1)</f>
        <v>19.399999999999999</v>
      </c>
      <c r="N608" s="630">
        <f>ROUND(AVERAGE(N31,N39,N124,N175,N188,N236,N249,N263,N278,N299,N426,N471,N481,N491,N499,N503,N564),1)</f>
        <v>143.19999999999999</v>
      </c>
      <c r="O608" s="631">
        <f>ROUND(STDEV(N31,N39,N124,N175,N188,N236,N249,N263,N278,N299,N426,N471,N481,N491,N499,N503,N564),1)</f>
        <v>79.099999999999994</v>
      </c>
    </row>
    <row r="609" spans="8:15" ht="14" thickBot="1">
      <c r="H609" s="543" t="s">
        <v>105</v>
      </c>
      <c r="I609" s="632" t="s">
        <v>104</v>
      </c>
      <c r="J609" s="633">
        <f>ROUND(AVERAGE(J317,J395,J413),1)</f>
        <v>101.1</v>
      </c>
      <c r="K609" s="633">
        <f>ROUND(STDEV(J317,J395,J413),1)</f>
        <v>32.299999999999997</v>
      </c>
      <c r="L609" s="633">
        <f>ROUND(AVERAGE(L317,L395,L413),1)</f>
        <v>61.7</v>
      </c>
      <c r="M609" s="633">
        <f>ROUND(STDEV(L317,L395,L413),1)</f>
        <v>22.3</v>
      </c>
      <c r="N609" s="633">
        <f>ROUND(AVERAGE(N317,N395,N413),1)</f>
        <v>57.2</v>
      </c>
      <c r="O609" s="634">
        <f>ROUND(STDEV(N317,N395,N413),1)</f>
        <v>7</v>
      </c>
    </row>
    <row r="610" spans="8:15" ht="14" thickBot="1">
      <c r="I610" s="350"/>
      <c r="J610" s="351"/>
      <c r="K610" s="351"/>
      <c r="L610" s="351"/>
      <c r="M610" s="351"/>
      <c r="N610" s="351"/>
      <c r="O610" s="351"/>
    </row>
    <row r="611" spans="8:15" ht="14" thickBot="1">
      <c r="I611" s="645" t="s">
        <v>2177</v>
      </c>
      <c r="J611" s="440">
        <f>ROUND(AVERAGE(J31,J39,J74,J124,J175,J188,J236,J249,J263,J278,J299,J317,J395,J413,J426,J471,J481,J491,J499,J503,J557,J564,J575,J586,J596),1)</f>
        <v>257.2</v>
      </c>
      <c r="K611" s="440">
        <f>ROUND(STDEV(J31,J39,J74,J124,J175,J188,J236,J249,J263,J278,J299,J317,J395,J413,J426,J471,J481,J491,J499,J503,J557,J564,J575,J586,J596),1)</f>
        <v>150.1</v>
      </c>
      <c r="L611" s="440">
        <f>L602</f>
        <v>48.6</v>
      </c>
      <c r="M611" s="440">
        <f t="shared" ref="M611:O611" si="52">M602</f>
        <v>21.9</v>
      </c>
      <c r="N611" s="440">
        <f t="shared" si="52"/>
        <v>125.5</v>
      </c>
      <c r="O611" s="441">
        <f t="shared" si="52"/>
        <v>77</v>
      </c>
    </row>
    <row r="612" spans="8:15" ht="14" thickBot="1">
      <c r="I612" s="350"/>
      <c r="J612" s="351"/>
      <c r="K612" s="351"/>
      <c r="L612" s="351"/>
      <c r="M612" s="351"/>
      <c r="N612" s="351"/>
      <c r="O612" s="351"/>
    </row>
    <row r="613" spans="8:15">
      <c r="I613" s="352" t="s">
        <v>1791</v>
      </c>
      <c r="J613" s="353">
        <f>ROUND(AVERAGE(J23,J67,J109,J160,J186+J222,J246,J258,J273,J296,J303,J381,J399,J423,J470,J480,J490,J541),1)</f>
        <v>17.7</v>
      </c>
      <c r="K613" s="353">
        <f>ROUND(STDEV(J23,J67,J109,J160,J186+J222,J246,J258,J273,J296,J303,J381,J399,J423,J470,J480,J490,J541),1)</f>
        <v>9.9</v>
      </c>
      <c r="L613" s="353">
        <f>ROUND(AVERAGE(L23,L67,L109,L160,L186,L222,L246,L258,L273,L296,L303,L381,L399,L423,L470,L480,L490,L541),1)</f>
        <v>84.7</v>
      </c>
      <c r="M613" s="353">
        <f>ROUND(STDEV(L23,L67,L109,L160,L186,L222,L246,L258,L273,L296,L303,L381,L399,L423,L470,L480,L490,L541),1)</f>
        <v>30</v>
      </c>
      <c r="N613" s="353">
        <f>ROUND(AVERAGE(N23,N67,N109,N160,N186+N222,N246,N258,N273,N296,N303,N381,N399,N423,N470,N480,N490,N541),1)</f>
        <v>13.8</v>
      </c>
      <c r="O613" s="354">
        <f>ROUND(STDEV(N23,N67,N109,N160,N186+N222,N246,N258,N273,N296,N303,N381,N399,N423,N470,N480,N490,N541),1)</f>
        <v>8.4</v>
      </c>
    </row>
    <row r="614" spans="8:15">
      <c r="I614" s="369" t="s">
        <v>1792</v>
      </c>
      <c r="J614" s="357">
        <f>ROUND(AVERAGE(J38,J68,J185,J245,J283+J287+J292,J469,J479,J490),1)</f>
        <v>13.1</v>
      </c>
      <c r="K614" s="357">
        <f>ROUND(STDEV(J38,J68,J185,J245,J283+J287+J292,J469,J479,J490),1)</f>
        <v>8.8000000000000007</v>
      </c>
      <c r="L614" s="357">
        <f>ROUND(AVERAGE(L38,L68,L185,L245,L283,L287,L292,L469,L479,L490),1)</f>
        <v>72.8</v>
      </c>
      <c r="M614" s="357">
        <f>ROUND(STDEV(L38,L68,L185,L245,L283,L287,L292,L469,L479,L490),1)</f>
        <v>38.299999999999997</v>
      </c>
      <c r="N614" s="357">
        <f>ROUND(AVERAGE(N38,N68,N185,N245,N283+N287+N292,N469,N479,N490),1)</f>
        <v>11.3</v>
      </c>
      <c r="O614" s="358">
        <f>ROUND(STDEV(N38,N68,N185,N245,N283+N287+N292,N469,N479,N490),1)</f>
        <v>9.8000000000000007</v>
      </c>
    </row>
    <row r="615" spans="8:15">
      <c r="I615" s="369" t="s">
        <v>1859</v>
      </c>
      <c r="J615" s="357">
        <f>ROUND(AVERAGE(J24,J112,J163,J225,J305,J383,J543),1)</f>
        <v>0.5</v>
      </c>
      <c r="K615" s="357">
        <f>ROUND(STDEV(J24,J112,J163,J225,J305,J383,J543),1)</f>
        <v>0.3</v>
      </c>
      <c r="L615" s="357">
        <f>ROUND(AVERAGE(L24,L112,L163,L225,L305,L383,L543),1)</f>
        <v>88.8</v>
      </c>
      <c r="M615" s="357">
        <f>ROUND(STDEV(L24,L112,L163,L225,L305,L383,L543),1)</f>
        <v>22.9</v>
      </c>
      <c r="N615" s="357">
        <f>ROUND(AVERAGE(N24,N112,N163,N225,N305,N383,N543),1)</f>
        <v>0.5</v>
      </c>
      <c r="O615" s="358">
        <f>ROUND(STDEV(N24,N112,N163,N225,N305,N383,N543),1)</f>
        <v>0.3</v>
      </c>
    </row>
    <row r="616" spans="8:15">
      <c r="I616" s="369" t="s">
        <v>1850</v>
      </c>
      <c r="J616" s="357">
        <f>ROUND(AVERAGE(J22,J113,J164,J227,J306,J384,J402,J542),1)</f>
        <v>3.8</v>
      </c>
      <c r="K616" s="357">
        <f>ROUND(STDEV(J22,J113,J164,J227,J306,J384,J402,J542),1)</f>
        <v>3</v>
      </c>
      <c r="L616" s="357">
        <f>ROUND(AVERAGE(L22,L113,L164,L227,L306,L384,L402,L542),1)</f>
        <v>94</v>
      </c>
      <c r="M616" s="357">
        <f>ROUND(STDEV(L22,L113,L164,L227,L306,L384,L402,L542),1)</f>
        <v>5.0999999999999996</v>
      </c>
      <c r="N616" s="357">
        <f>ROUND(AVERAGE(N22,N113,N164,N227,N306,N384,N402,N542),1)</f>
        <v>3.6</v>
      </c>
      <c r="O616" s="358">
        <f>ROUND(STDEV(N22,N113,N164,N227,N306,N384,N402,N542),1)</f>
        <v>2.8</v>
      </c>
    </row>
    <row r="617" spans="8:15">
      <c r="I617" s="369" t="s">
        <v>1851</v>
      </c>
      <c r="J617" s="357">
        <f>ROUND(AVERAGE(J187,J247,J298),1)</f>
        <v>5.2</v>
      </c>
      <c r="K617" s="357">
        <f>ROUND(STDEV(J187,J247,J298),1)</f>
        <v>0.8</v>
      </c>
      <c r="L617" s="357">
        <f>ROUND(AVERAGE(L187,L247,L298),1)</f>
        <v>21.2</v>
      </c>
      <c r="M617" s="357">
        <f>ROUND(STDEV(L187,L247,L298),1)</f>
        <v>34.5</v>
      </c>
      <c r="N617" s="357">
        <f>ROUND(AVERAGE(N187,N247,N298),1)</f>
        <v>0.9</v>
      </c>
      <c r="O617" s="358">
        <f>ROUND(STDEV(N187,N247,N298),1)</f>
        <v>1.4</v>
      </c>
    </row>
    <row r="618" spans="8:15">
      <c r="I618" s="369" t="s">
        <v>1852</v>
      </c>
      <c r="J618" s="357">
        <f>ROUND(AVERAGE(J25,J69,J114,J165,J228,J307,J385,J403,J545),1)</f>
        <v>4.5999999999999996</v>
      </c>
      <c r="K618" s="357">
        <f>ROUND(STDEV(J25,J69,J114,J165,J228,J307,J385,J403,J545),1)</f>
        <v>2.8</v>
      </c>
      <c r="L618" s="357">
        <f>ROUND(AVERAGE(L25,L69,L114,L165,L228,L307,L385,L403,L545),1)</f>
        <v>94.1</v>
      </c>
      <c r="M618" s="357">
        <f>ROUND(STDEV(L25,L69,L114,L165,L228,L307,L385,L403,L545),1)</f>
        <v>4.8</v>
      </c>
      <c r="N618" s="357">
        <f>ROUND(AVERAGE(N25,N69,N114,N165,N228,N307,N385,N403,N545),1)</f>
        <v>6.4</v>
      </c>
      <c r="O618" s="357">
        <f>ROUND(STDEV(N25,N69,N114,N165,N228,N307,N385,N403,N545),1)</f>
        <v>8.6</v>
      </c>
    </row>
    <row r="619" spans="8:15">
      <c r="I619" s="369" t="s">
        <v>1853</v>
      </c>
      <c r="J619" s="357">
        <f>ROUND(AVERAGE(J26,J70,J115,J166,J229,J308,J386,J404,J546),1)</f>
        <v>16.7</v>
      </c>
      <c r="K619" s="357">
        <f>ROUND(STDEV(J26,J70,J115,J166,J229,J308,J386,J404,J546),1)</f>
        <v>3.9</v>
      </c>
      <c r="L619" s="357">
        <f>ROUND(AVERAGE(L26,L70,L115,L166,L229,L308,L386,L404,L546),1)</f>
        <v>87.1</v>
      </c>
      <c r="M619" s="357">
        <f>ROUND(STDEV(L26,L70,L115,L166,L229,L308,L386,L404,L546),1)</f>
        <v>7.9</v>
      </c>
      <c r="N619" s="357">
        <f>ROUND(AVERAGE(N26,N70,N115,N166,N229,N308,N386,N404,N546),1)</f>
        <v>14.6</v>
      </c>
      <c r="O619" s="357">
        <f>ROUND(STDEV(N26,N70,N115,N166,N229,N308,N386,N404,N546),1)</f>
        <v>4</v>
      </c>
    </row>
    <row r="620" spans="8:15">
      <c r="I620" s="369" t="s">
        <v>1854</v>
      </c>
      <c r="J620" s="357">
        <f>ROUND(AVERAGE(J27,J71,J116,J167,J230,J309,J387,J405,J547),1)</f>
        <v>26.7</v>
      </c>
      <c r="K620" s="357">
        <f>ROUND(STDEV(J27,J71,J116,J167,J230,J309,J387,J405,J547),1)</f>
        <v>14.7</v>
      </c>
      <c r="L620" s="357">
        <f>ROUND(AVERAGE(L27,L71,L116,L167,L230,L309,L387,L405,L547),1)</f>
        <v>64.5</v>
      </c>
      <c r="M620" s="357">
        <f>ROUND(STDEV(L27,L71,L116,L167,L230,L309,L387,L405,L547),1)</f>
        <v>19.3</v>
      </c>
      <c r="N620" s="357">
        <f>ROUND(AVERAGE(N27,N71,N116,N167,N230,N309,N387,N405,N547),1)</f>
        <v>18.399999999999999</v>
      </c>
      <c r="O620" s="357">
        <f>ROUND(STDEV(N27,N71,N116,N167,N230,N309,N387,N405,N547),1)</f>
        <v>12.9</v>
      </c>
    </row>
    <row r="621" spans="8:15">
      <c r="I621" s="369" t="s">
        <v>1981</v>
      </c>
      <c r="J621" s="357">
        <f>ROUND(AVERAGE(J28,J72,J119,J170,J231,J312,J390,J408,J550),1)</f>
        <v>44.9</v>
      </c>
      <c r="K621" s="357">
        <f>ROUND(STDEV(J28,J72,J119,J170,J231,J312,J390,J408,J550),1)</f>
        <v>29.4</v>
      </c>
      <c r="L621" s="357">
        <f>ROUND(AVERAGE(L28,L72,L119,L170,L231,L312,L390,L408,L550),1)</f>
        <v>40.5</v>
      </c>
      <c r="M621" s="357">
        <f>ROUND(STDEV(L28,L72,L119,L170,L231,L312,L390,L408,L550),1)</f>
        <v>18.100000000000001</v>
      </c>
      <c r="N621" s="357">
        <f>ROUND(AVERAGE(N28,N72,N119,N170,N231,N312,N390,N408,N550),1)</f>
        <v>17.899999999999999</v>
      </c>
      <c r="O621" s="357">
        <f>ROUND(STDEV(N28,N72,N119,N170,N231,N312,N390,N408,N550),1)</f>
        <v>9.3000000000000007</v>
      </c>
    </row>
    <row r="622" spans="8:15">
      <c r="I622" s="369" t="s">
        <v>1982</v>
      </c>
      <c r="J622" s="357">
        <f>ROUND(AVERAGE(J29,J122,J173,J233,J313,J391,J409,J553,J35,J179,J240,J255,J267,J419,J466,J476,J487,J496),1)</f>
        <v>146.5</v>
      </c>
      <c r="K622" s="357">
        <f>ROUND(STDEV(J29,J122,J173,J233,J313,J391,J409,J553,J35,J179,J240,J255,J267,J419,J466,J476,J487,J496),1)</f>
        <v>83.1</v>
      </c>
      <c r="L622" s="357">
        <f>ROUND(AVERAGE(L29,L122,L173,L233,L313,L391,L409,L553,L35,L179,L240,L255,L267,L419,L466,L476,L487,L496),1)</f>
        <v>31.7</v>
      </c>
      <c r="M622" s="357">
        <f>ROUND(STDEV(L29,L122,L173,L233,L313,L391,L409,L553,L35,L179,L240,L255,L267,L419,L466,L476,L487,L496),1)</f>
        <v>22.5</v>
      </c>
      <c r="N622" s="357">
        <f>ROUND(AVERAGE(N29,N122,N173,N233,N313,N391,N409,N553,N35,N179,N240,N255,N267,N419,N466,N476,N487,N496),1)</f>
        <v>36.6</v>
      </c>
      <c r="O622" s="357">
        <f>ROUND(STDEV(N29,N122,N173,N233,N313,N391,N409,N553,N35,N179,N240,N255,N267,N419,N466,N476,N487,N496),1)</f>
        <v>32.299999999999997</v>
      </c>
    </row>
    <row r="623" spans="8:15">
      <c r="I623" s="369" t="s">
        <v>47</v>
      </c>
      <c r="J623" s="357">
        <f>ROUND(AVERAGE(J30,J73,J123,J174,J228+J229+J230+J231+J233,J316,J394,J412,J554),1)</f>
        <v>170.4</v>
      </c>
      <c r="K623" s="357">
        <f>ROUND(STDEV(J30,J73,J123,J174,J228+J229+J230+J231+J233,J316,J394,J412,J554),1)</f>
        <v>113.6</v>
      </c>
      <c r="L623" s="357">
        <f>ROUND(AVERAGE(L30,L73,L123,L174,AVERAGE(L228,L229,L230,L231,L233),L316,L394,L412,L554),1)</f>
        <v>57.2</v>
      </c>
      <c r="M623" s="357">
        <f>ROUND(STDEV(L30,L73,L123,L174,L228,L229,L230,L231,L233,L316,L394,L412,L554),1)</f>
        <v>23.8</v>
      </c>
      <c r="N623" s="357">
        <f>ROUND(AVERAGE(N30,N73,N123,N174,N228+N229+N230+N231+N233,N316,N394,N412,N554),1)</f>
        <v>83.6</v>
      </c>
      <c r="O623" s="357">
        <f>ROUND(STDEV(N30,N73,N123,N174,N228+N229+N230+N231+N233,N316,N394,N412,N554),1)</f>
        <v>45.4</v>
      </c>
    </row>
    <row r="624" spans="8:15" ht="14" thickBot="1">
      <c r="I624" s="370" t="s">
        <v>2096</v>
      </c>
      <c r="J624" s="360">
        <f>ROUND(AVERAGE(J161,J226,J382),1)</f>
        <v>5.2</v>
      </c>
      <c r="K624" s="360">
        <f>ROUND(STDEV(J161,J226,J382),1)</f>
        <v>2.7</v>
      </c>
      <c r="L624" s="360">
        <f>ROUND(AVERAGE(L161,L226,L382),1)</f>
        <v>87.1</v>
      </c>
      <c r="M624" s="360">
        <f>ROUND(STDEV(L161,L226,L382),1)</f>
        <v>12.9</v>
      </c>
      <c r="N624" s="360">
        <f>ROUND(AVERAGE(N161,N226,N382),1)</f>
        <v>4.4000000000000004</v>
      </c>
      <c r="O624" s="360">
        <f>ROUND(STDEV(N161,N226,N382),1)</f>
        <v>2.2000000000000002</v>
      </c>
    </row>
  </sheetData>
  <phoneticPr fontId="17" type="noConversion"/>
  <pageMargins left="0.75" right="0.75" top="1" bottom="1" header="0.5" footer="0.5"/>
  <pageSetup paperSize="9" orientation="portrait" horizontalDpi="4294967292" verticalDpi="4294967292"/>
  <ignoredErrors>
    <ignoredError sqref="K225:K236 M225:M236 K381:M395 K564:N564 K603 K608:M609 N603 M603 L60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20"/>
  <sheetViews>
    <sheetView workbookViewId="0">
      <pane xSplit="9" ySplit="1" topLeftCell="J166" activePane="bottomRight" state="frozen"/>
      <selection pane="topRight" activeCell="J1" sqref="J1"/>
      <selection pane="bottomLeft" activeCell="A2" sqref="A2"/>
      <selection pane="bottomRight" activeCell="L221" sqref="L221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6.7109375" customWidth="1"/>
  </cols>
  <sheetData>
    <row r="1" spans="1:124" s="7" customFormat="1" ht="32" customHeight="1" thickBot="1">
      <c r="A1" s="41" t="s">
        <v>807</v>
      </c>
      <c r="B1" s="41" t="s">
        <v>808</v>
      </c>
      <c r="C1" s="41" t="s">
        <v>809</v>
      </c>
      <c r="D1" s="41" t="s">
        <v>810</v>
      </c>
      <c r="E1" s="41" t="s">
        <v>1064</v>
      </c>
      <c r="F1" s="41" t="s">
        <v>1065</v>
      </c>
      <c r="G1" s="41" t="s">
        <v>937</v>
      </c>
      <c r="H1" s="41" t="s">
        <v>938</v>
      </c>
      <c r="I1" s="41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41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s="26" customFormat="1" ht="14" thickBot="1">
      <c r="A2" s="19" t="s">
        <v>48</v>
      </c>
      <c r="B2" s="29" t="s">
        <v>1269</v>
      </c>
      <c r="C2" s="29" t="s">
        <v>1270</v>
      </c>
      <c r="D2" s="19" t="s">
        <v>1039</v>
      </c>
      <c r="E2" s="19" t="s">
        <v>986</v>
      </c>
      <c r="F2" s="19" t="s">
        <v>986</v>
      </c>
      <c r="G2" s="34" t="s">
        <v>986</v>
      </c>
      <c r="H2" s="27" t="s">
        <v>1047</v>
      </c>
      <c r="I2" s="90" t="s">
        <v>1116</v>
      </c>
      <c r="J2" s="67">
        <v>110</v>
      </c>
      <c r="K2" s="67" t="s">
        <v>253</v>
      </c>
      <c r="L2" s="67">
        <v>59</v>
      </c>
      <c r="M2" s="67" t="s">
        <v>253</v>
      </c>
      <c r="N2" s="111">
        <v>65</v>
      </c>
      <c r="O2" s="112" t="s">
        <v>253</v>
      </c>
      <c r="P2" s="118" t="s">
        <v>389</v>
      </c>
    </row>
    <row r="3" spans="1:124" s="1" customFormat="1">
      <c r="A3" s="3"/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24">
      <c r="A4" s="19" t="s">
        <v>48</v>
      </c>
      <c r="B4" s="29" t="s">
        <v>1024</v>
      </c>
      <c r="C4" s="29" t="s">
        <v>1025</v>
      </c>
      <c r="D4" s="19" t="s">
        <v>1162</v>
      </c>
      <c r="E4" s="19">
        <v>1990</v>
      </c>
      <c r="F4" s="19">
        <v>9</v>
      </c>
      <c r="G4" s="19" t="s">
        <v>1046</v>
      </c>
      <c r="H4" s="19" t="s">
        <v>1047</v>
      </c>
      <c r="I4" s="19" t="s">
        <v>912</v>
      </c>
      <c r="J4" s="22">
        <v>118</v>
      </c>
      <c r="K4" s="22">
        <v>17.7</v>
      </c>
      <c r="L4" s="22" t="s">
        <v>253</v>
      </c>
      <c r="M4" s="22" t="s">
        <v>253</v>
      </c>
      <c r="N4" s="22" t="s">
        <v>253</v>
      </c>
      <c r="O4" s="22" t="s">
        <v>253</v>
      </c>
      <c r="P4" s="19" t="s">
        <v>266</v>
      </c>
      <c r="Q4" s="58"/>
    </row>
    <row r="5" spans="1:124">
      <c r="A5" s="19"/>
      <c r="B5" s="29"/>
      <c r="C5" s="29"/>
      <c r="D5" s="19"/>
      <c r="E5" s="19"/>
      <c r="F5" s="19"/>
      <c r="G5" s="19"/>
      <c r="H5" s="19"/>
      <c r="I5" s="19" t="s">
        <v>913</v>
      </c>
      <c r="J5" s="22">
        <v>15.9</v>
      </c>
      <c r="K5" s="22">
        <v>7.1</v>
      </c>
      <c r="L5" s="22" t="s">
        <v>1398</v>
      </c>
      <c r="M5" s="22" t="s">
        <v>986</v>
      </c>
      <c r="N5" s="22">
        <v>69.3</v>
      </c>
      <c r="O5" s="22" t="s">
        <v>986</v>
      </c>
      <c r="P5" s="19" t="s">
        <v>266</v>
      </c>
      <c r="Q5" s="58"/>
    </row>
    <row r="6" spans="1:124">
      <c r="A6" s="19"/>
      <c r="B6" s="29"/>
      <c r="C6" s="29"/>
      <c r="D6" s="19"/>
      <c r="E6" s="19"/>
      <c r="F6" s="19"/>
      <c r="G6" s="19"/>
      <c r="H6" s="19"/>
      <c r="I6" s="19" t="s">
        <v>945</v>
      </c>
      <c r="J6" s="22">
        <v>11.8</v>
      </c>
      <c r="K6" s="22">
        <v>6.8</v>
      </c>
      <c r="L6" s="22" t="s">
        <v>986</v>
      </c>
      <c r="M6" s="22" t="s">
        <v>986</v>
      </c>
      <c r="N6" s="22" t="s">
        <v>986</v>
      </c>
      <c r="O6" s="22" t="s">
        <v>986</v>
      </c>
      <c r="P6" s="19" t="s">
        <v>266</v>
      </c>
      <c r="Q6" s="58"/>
    </row>
    <row r="7" spans="1:124">
      <c r="A7" s="19"/>
      <c r="B7" s="29"/>
      <c r="C7" s="29"/>
      <c r="D7" s="19"/>
      <c r="E7" s="19"/>
      <c r="F7" s="19"/>
      <c r="G7" s="19"/>
      <c r="H7" s="19"/>
      <c r="I7" s="19" t="s">
        <v>924</v>
      </c>
      <c r="J7" s="22">
        <v>3.4</v>
      </c>
      <c r="K7" s="22">
        <v>0.7</v>
      </c>
      <c r="L7" s="22">
        <f t="shared" ref="L7:L13" si="0">(N7/J7)*100</f>
        <v>100</v>
      </c>
      <c r="M7" s="22" t="s">
        <v>986</v>
      </c>
      <c r="N7" s="22">
        <v>3.4</v>
      </c>
      <c r="O7" s="22" t="s">
        <v>986</v>
      </c>
      <c r="P7" s="19" t="s">
        <v>266</v>
      </c>
      <c r="Q7" s="58"/>
    </row>
    <row r="8" spans="1:124">
      <c r="A8" s="19"/>
      <c r="B8" s="29"/>
      <c r="C8" s="29"/>
      <c r="D8" s="19"/>
      <c r="E8" s="19"/>
      <c r="F8" s="19"/>
      <c r="G8" s="19"/>
      <c r="H8" s="19"/>
      <c r="I8" s="19" t="s">
        <v>1195</v>
      </c>
      <c r="J8" s="22">
        <v>10.8</v>
      </c>
      <c r="K8" s="22">
        <v>1.6</v>
      </c>
      <c r="L8" s="22">
        <f t="shared" si="0"/>
        <v>93.518518518518505</v>
      </c>
      <c r="M8" s="22" t="s">
        <v>986</v>
      </c>
      <c r="N8" s="22">
        <v>10.1</v>
      </c>
      <c r="O8" s="22" t="s">
        <v>986</v>
      </c>
      <c r="P8" s="19" t="s">
        <v>266</v>
      </c>
      <c r="Q8" s="58"/>
    </row>
    <row r="9" spans="1:124">
      <c r="A9" s="19"/>
      <c r="B9" s="29"/>
      <c r="C9" s="29"/>
      <c r="D9" s="19"/>
      <c r="E9" s="19"/>
      <c r="F9" s="19"/>
      <c r="G9" s="19"/>
      <c r="H9" s="19"/>
      <c r="I9" s="19" t="s">
        <v>1091</v>
      </c>
      <c r="J9" s="22">
        <v>20.2</v>
      </c>
      <c r="K9" s="22">
        <v>6.1</v>
      </c>
      <c r="L9" s="22">
        <f t="shared" si="0"/>
        <v>12.376237623762377</v>
      </c>
      <c r="M9" s="22" t="s">
        <v>986</v>
      </c>
      <c r="N9" s="22">
        <v>2.5</v>
      </c>
      <c r="O9" s="22" t="s">
        <v>986</v>
      </c>
      <c r="P9" s="19" t="s">
        <v>266</v>
      </c>
      <c r="Q9" s="58"/>
    </row>
    <row r="10" spans="1:124">
      <c r="A10" s="19"/>
      <c r="B10" s="29"/>
      <c r="C10" s="29"/>
      <c r="D10" s="19"/>
      <c r="E10" s="19"/>
      <c r="F10" s="19"/>
      <c r="G10" s="19"/>
      <c r="H10" s="19"/>
      <c r="I10" s="19" t="s">
        <v>1092</v>
      </c>
      <c r="J10" s="22">
        <v>0.4</v>
      </c>
      <c r="K10" s="22">
        <v>0.3</v>
      </c>
      <c r="L10" s="22">
        <f t="shared" si="0"/>
        <v>125</v>
      </c>
      <c r="M10" s="22" t="s">
        <v>986</v>
      </c>
      <c r="N10" s="22">
        <v>0.5</v>
      </c>
      <c r="O10" s="22" t="s">
        <v>986</v>
      </c>
      <c r="P10" s="19" t="s">
        <v>266</v>
      </c>
      <c r="Q10" s="58"/>
    </row>
    <row r="11" spans="1:124">
      <c r="A11" s="19"/>
      <c r="B11" s="29"/>
      <c r="C11" s="29"/>
      <c r="D11" s="19"/>
      <c r="E11" s="19"/>
      <c r="F11" s="19"/>
      <c r="G11" s="19"/>
      <c r="H11" s="19"/>
      <c r="I11" s="19" t="s">
        <v>1093</v>
      </c>
      <c r="J11" s="22">
        <v>0.1</v>
      </c>
      <c r="K11" s="22">
        <v>0.1</v>
      </c>
      <c r="L11" s="22">
        <f t="shared" si="0"/>
        <v>100</v>
      </c>
      <c r="M11" s="22" t="s">
        <v>986</v>
      </c>
      <c r="N11" s="22">
        <v>0.1</v>
      </c>
      <c r="O11" s="22" t="s">
        <v>986</v>
      </c>
      <c r="P11" s="19" t="s">
        <v>266</v>
      </c>
      <c r="Q11" s="58"/>
    </row>
    <row r="12" spans="1:124">
      <c r="A12" s="19"/>
      <c r="B12" s="29"/>
      <c r="C12" s="29"/>
      <c r="D12" s="19"/>
      <c r="E12" s="19"/>
      <c r="F12" s="19"/>
      <c r="G12" s="19"/>
      <c r="H12" s="19"/>
      <c r="I12" s="19" t="s">
        <v>1204</v>
      </c>
      <c r="J12" s="22">
        <v>0.5</v>
      </c>
      <c r="K12" s="22">
        <v>0.2</v>
      </c>
      <c r="L12" s="22">
        <f t="shared" si="0"/>
        <v>100</v>
      </c>
      <c r="M12" s="22" t="s">
        <v>986</v>
      </c>
      <c r="N12" s="22">
        <v>0.5</v>
      </c>
      <c r="O12" s="22" t="s">
        <v>986</v>
      </c>
      <c r="P12" s="19" t="s">
        <v>266</v>
      </c>
      <c r="Q12" s="58"/>
    </row>
    <row r="13" spans="1:124">
      <c r="A13" s="19"/>
      <c r="B13" s="29"/>
      <c r="C13" s="29"/>
      <c r="D13" s="19"/>
      <c r="E13" s="19"/>
      <c r="F13" s="19"/>
      <c r="G13" s="19"/>
      <c r="H13" s="19"/>
      <c r="I13" s="19" t="s">
        <v>485</v>
      </c>
      <c r="J13" s="22">
        <v>181</v>
      </c>
      <c r="K13" s="22" t="s">
        <v>1046</v>
      </c>
      <c r="L13" s="22">
        <f t="shared" si="0"/>
        <v>47.679558011049721</v>
      </c>
      <c r="M13" s="22" t="s">
        <v>986</v>
      </c>
      <c r="N13" s="22">
        <v>86.3</v>
      </c>
      <c r="O13" s="22" t="s">
        <v>1046</v>
      </c>
      <c r="P13" s="19" t="s">
        <v>266</v>
      </c>
      <c r="Q13" s="58"/>
    </row>
    <row r="14" spans="1:124">
      <c r="A14" s="19" t="s">
        <v>48</v>
      </c>
      <c r="B14" s="29" t="s">
        <v>1024</v>
      </c>
      <c r="C14" s="29" t="s">
        <v>1025</v>
      </c>
      <c r="D14" s="19" t="s">
        <v>1162</v>
      </c>
      <c r="E14" s="19">
        <v>1990</v>
      </c>
      <c r="F14" s="19">
        <v>9</v>
      </c>
      <c r="G14" s="19" t="s">
        <v>1046</v>
      </c>
      <c r="H14" s="19" t="s">
        <v>1047</v>
      </c>
      <c r="I14" s="19" t="s">
        <v>912</v>
      </c>
      <c r="J14" s="22">
        <v>145.69999999999999</v>
      </c>
      <c r="K14" s="22">
        <v>15.2</v>
      </c>
      <c r="L14" s="22" t="s">
        <v>986</v>
      </c>
      <c r="M14" s="22" t="s">
        <v>986</v>
      </c>
      <c r="N14" s="22" t="s">
        <v>986</v>
      </c>
      <c r="O14" s="22" t="s">
        <v>986</v>
      </c>
      <c r="P14" s="19" t="s">
        <v>267</v>
      </c>
      <c r="Q14" s="58"/>
    </row>
    <row r="15" spans="1:124">
      <c r="A15" s="19"/>
      <c r="B15" s="29"/>
      <c r="C15" s="29"/>
      <c r="D15" s="19"/>
      <c r="E15" s="19"/>
      <c r="F15" s="19"/>
      <c r="G15" s="19"/>
      <c r="H15" s="19"/>
      <c r="I15" s="19" t="s">
        <v>913</v>
      </c>
      <c r="J15" s="22">
        <v>8.1</v>
      </c>
      <c r="K15" s="22">
        <v>4.0999999999999996</v>
      </c>
      <c r="L15" s="22" t="s">
        <v>1398</v>
      </c>
      <c r="M15" s="22" t="s">
        <v>986</v>
      </c>
      <c r="N15" s="22">
        <v>109.9</v>
      </c>
      <c r="O15" s="22" t="s">
        <v>986</v>
      </c>
      <c r="P15" s="19" t="s">
        <v>267</v>
      </c>
      <c r="Q15" s="58"/>
    </row>
    <row r="16" spans="1:124">
      <c r="A16" s="19"/>
      <c r="B16" s="29"/>
      <c r="C16" s="29"/>
      <c r="D16" s="19"/>
      <c r="E16" s="19"/>
      <c r="F16" s="19"/>
      <c r="G16" s="19"/>
      <c r="H16" s="19"/>
      <c r="I16" s="19" t="s">
        <v>945</v>
      </c>
      <c r="J16" s="22">
        <v>26.7</v>
      </c>
      <c r="K16" s="22">
        <v>4.2</v>
      </c>
      <c r="L16" s="22" t="s">
        <v>986</v>
      </c>
      <c r="M16" s="22" t="s">
        <v>986</v>
      </c>
      <c r="N16" s="22" t="s">
        <v>986</v>
      </c>
      <c r="O16" s="22" t="s">
        <v>986</v>
      </c>
      <c r="P16" s="19" t="s">
        <v>267</v>
      </c>
      <c r="Q16" s="58"/>
    </row>
    <row r="17" spans="1:17">
      <c r="A17" s="19"/>
      <c r="B17" s="29"/>
      <c r="C17" s="29"/>
      <c r="D17" s="19"/>
      <c r="E17" s="19"/>
      <c r="F17" s="19"/>
      <c r="G17" s="19"/>
      <c r="H17" s="19"/>
      <c r="I17" s="19" t="s">
        <v>924</v>
      </c>
      <c r="J17" s="22">
        <v>3.3</v>
      </c>
      <c r="K17" s="22">
        <v>0.6</v>
      </c>
      <c r="L17" s="22">
        <f>(N17/J17)*100</f>
        <v>100</v>
      </c>
      <c r="M17" s="22" t="s">
        <v>986</v>
      </c>
      <c r="N17" s="22">
        <v>3.3</v>
      </c>
      <c r="O17" s="22" t="s">
        <v>986</v>
      </c>
      <c r="P17" s="19" t="s">
        <v>267</v>
      </c>
      <c r="Q17" s="58"/>
    </row>
    <row r="18" spans="1:17">
      <c r="A18" s="19"/>
      <c r="B18" s="29"/>
      <c r="C18" s="29"/>
      <c r="D18" s="19"/>
      <c r="E18" s="19"/>
      <c r="F18" s="19"/>
      <c r="G18" s="19"/>
      <c r="H18" s="19"/>
      <c r="I18" s="19" t="s">
        <v>1195</v>
      </c>
      <c r="J18" s="22">
        <v>12.6</v>
      </c>
      <c r="K18" s="22">
        <v>1.2</v>
      </c>
      <c r="L18" s="22">
        <f>(N18/J18)*100</f>
        <v>93.650793650793659</v>
      </c>
      <c r="M18" s="22" t="s">
        <v>986</v>
      </c>
      <c r="N18" s="22">
        <v>11.8</v>
      </c>
      <c r="O18" s="22" t="s">
        <v>986</v>
      </c>
      <c r="P18" s="19" t="s">
        <v>267</v>
      </c>
      <c r="Q18" s="58"/>
    </row>
    <row r="19" spans="1:17">
      <c r="A19" s="19"/>
      <c r="B19" s="29"/>
      <c r="C19" s="29"/>
      <c r="D19" s="19"/>
      <c r="E19" s="19"/>
      <c r="F19" s="19"/>
      <c r="G19" s="19"/>
      <c r="H19" s="19"/>
      <c r="I19" s="19" t="s">
        <v>1091</v>
      </c>
      <c r="J19" s="22">
        <v>27</v>
      </c>
      <c r="K19" s="22">
        <v>4.9000000000000004</v>
      </c>
      <c r="L19" s="22">
        <f>(N19/J19)*100</f>
        <v>14.074074074074073</v>
      </c>
      <c r="M19" s="22" t="s">
        <v>986</v>
      </c>
      <c r="N19" s="22">
        <v>3.8</v>
      </c>
      <c r="O19" s="22" t="s">
        <v>986</v>
      </c>
      <c r="P19" s="19" t="s">
        <v>267</v>
      </c>
      <c r="Q19" s="58"/>
    </row>
    <row r="20" spans="1:17">
      <c r="A20" s="19"/>
      <c r="B20" s="29"/>
      <c r="C20" s="29"/>
      <c r="D20" s="19"/>
      <c r="E20" s="19"/>
      <c r="F20" s="19"/>
      <c r="G20" s="19"/>
      <c r="H20" s="19"/>
      <c r="I20" s="19" t="s">
        <v>1092</v>
      </c>
      <c r="J20" s="22">
        <v>0.5</v>
      </c>
      <c r="K20" s="22">
        <v>0.1</v>
      </c>
      <c r="L20" s="22">
        <f>(N20/J20)*100</f>
        <v>100</v>
      </c>
      <c r="M20" s="22" t="s">
        <v>986</v>
      </c>
      <c r="N20" s="22">
        <v>0.5</v>
      </c>
      <c r="O20" s="22" t="s">
        <v>986</v>
      </c>
      <c r="P20" s="19" t="s">
        <v>267</v>
      </c>
      <c r="Q20" s="58"/>
    </row>
    <row r="21" spans="1:17">
      <c r="A21" s="19"/>
      <c r="B21" s="29"/>
      <c r="C21" s="29"/>
      <c r="D21" s="19"/>
      <c r="E21" s="19"/>
      <c r="F21" s="19"/>
      <c r="G21" s="19"/>
      <c r="H21" s="19"/>
      <c r="I21" s="19" t="s">
        <v>1093</v>
      </c>
      <c r="J21" s="22">
        <v>0</v>
      </c>
      <c r="K21" s="22">
        <v>0</v>
      </c>
      <c r="L21" s="22" t="s">
        <v>986</v>
      </c>
      <c r="M21" s="22" t="s">
        <v>986</v>
      </c>
      <c r="N21" s="22">
        <v>0</v>
      </c>
      <c r="O21" s="22" t="s">
        <v>986</v>
      </c>
      <c r="P21" s="19" t="s">
        <v>267</v>
      </c>
      <c r="Q21" s="58"/>
    </row>
    <row r="22" spans="1:17">
      <c r="A22" s="19"/>
      <c r="B22" s="29"/>
      <c r="C22" s="29"/>
      <c r="D22" s="19"/>
      <c r="E22" s="19"/>
      <c r="F22" s="19"/>
      <c r="G22" s="19"/>
      <c r="H22" s="19"/>
      <c r="I22" s="19" t="s">
        <v>1204</v>
      </c>
      <c r="J22" s="22">
        <v>0.3</v>
      </c>
      <c r="K22" s="22">
        <v>0.1</v>
      </c>
      <c r="L22" s="22">
        <f>(N22/J22)*100</f>
        <v>100</v>
      </c>
      <c r="M22" s="22" t="s">
        <v>986</v>
      </c>
      <c r="N22" s="22">
        <v>0.3</v>
      </c>
      <c r="O22" s="22" t="s">
        <v>986</v>
      </c>
      <c r="P22" s="19" t="s">
        <v>267</v>
      </c>
      <c r="Q22" s="58"/>
    </row>
    <row r="23" spans="1:17">
      <c r="A23" s="19"/>
      <c r="B23" s="29"/>
      <c r="C23" s="29"/>
      <c r="D23" s="19"/>
      <c r="E23" s="19"/>
      <c r="F23" s="19"/>
      <c r="G23" s="19"/>
      <c r="H23" s="19"/>
      <c r="I23" s="19" t="s">
        <v>485</v>
      </c>
      <c r="J23" s="22">
        <v>224</v>
      </c>
      <c r="K23" s="22" t="s">
        <v>1046</v>
      </c>
      <c r="L23" s="22">
        <f>(N23/J23)*100</f>
        <v>57.901785714285715</v>
      </c>
      <c r="M23" s="22" t="s">
        <v>986</v>
      </c>
      <c r="N23" s="22">
        <v>129.69999999999999</v>
      </c>
      <c r="O23" s="22" t="s">
        <v>986</v>
      </c>
      <c r="P23" s="19" t="s">
        <v>267</v>
      </c>
      <c r="Q23" s="58"/>
    </row>
    <row r="24" spans="1:17">
      <c r="A24" s="19" t="s">
        <v>48</v>
      </c>
      <c r="B24" s="29" t="s">
        <v>1024</v>
      </c>
      <c r="C24" s="29" t="s">
        <v>1025</v>
      </c>
      <c r="D24" s="19" t="s">
        <v>1162</v>
      </c>
      <c r="E24" s="19">
        <v>1990</v>
      </c>
      <c r="F24" s="19">
        <v>9</v>
      </c>
      <c r="G24" s="19" t="s">
        <v>1046</v>
      </c>
      <c r="H24" s="19" t="s">
        <v>1047</v>
      </c>
      <c r="I24" s="19" t="s">
        <v>912</v>
      </c>
      <c r="J24" s="22">
        <v>53.1</v>
      </c>
      <c r="K24" s="22">
        <v>10.199999999999999</v>
      </c>
      <c r="L24" s="22" t="s">
        <v>986</v>
      </c>
      <c r="M24" s="22" t="s">
        <v>986</v>
      </c>
      <c r="N24" s="22" t="s">
        <v>986</v>
      </c>
      <c r="O24" s="22" t="s">
        <v>986</v>
      </c>
      <c r="P24" s="19" t="s">
        <v>152</v>
      </c>
      <c r="Q24" s="58"/>
    </row>
    <row r="25" spans="1:17">
      <c r="A25" s="19"/>
      <c r="B25" s="29"/>
      <c r="C25" s="29"/>
      <c r="D25" s="19"/>
      <c r="E25" s="19"/>
      <c r="F25" s="19"/>
      <c r="G25" s="19"/>
      <c r="H25" s="19"/>
      <c r="I25" s="19" t="s">
        <v>913</v>
      </c>
      <c r="J25" s="22">
        <v>7.6</v>
      </c>
      <c r="K25" s="22">
        <v>5</v>
      </c>
      <c r="L25" s="22" t="s">
        <v>1398</v>
      </c>
      <c r="M25" s="22" t="s">
        <v>986</v>
      </c>
      <c r="N25" s="22">
        <v>49.3</v>
      </c>
      <c r="O25" s="22" t="s">
        <v>986</v>
      </c>
      <c r="P25" s="19" t="s">
        <v>152</v>
      </c>
      <c r="Q25" s="58"/>
    </row>
    <row r="26" spans="1:17">
      <c r="A26" s="19"/>
      <c r="B26" s="29"/>
      <c r="C26" s="29"/>
      <c r="D26" s="19"/>
      <c r="E26" s="19"/>
      <c r="F26" s="19"/>
      <c r="G26" s="19"/>
      <c r="H26" s="19"/>
      <c r="I26" s="19" t="s">
        <v>945</v>
      </c>
      <c r="J26" s="22">
        <v>27</v>
      </c>
      <c r="K26" s="22">
        <v>2.9</v>
      </c>
      <c r="L26" s="22" t="s">
        <v>986</v>
      </c>
      <c r="M26" s="22" t="s">
        <v>986</v>
      </c>
      <c r="N26" s="22" t="s">
        <v>986</v>
      </c>
      <c r="O26" s="22" t="s">
        <v>986</v>
      </c>
      <c r="P26" s="19" t="s">
        <v>152</v>
      </c>
      <c r="Q26" s="58"/>
    </row>
    <row r="27" spans="1:17">
      <c r="A27" s="19"/>
      <c r="B27" s="29"/>
      <c r="C27" s="29"/>
      <c r="D27" s="19"/>
      <c r="E27" s="19"/>
      <c r="F27" s="19"/>
      <c r="G27" s="19"/>
      <c r="H27" s="19"/>
      <c r="I27" s="19" t="s">
        <v>924</v>
      </c>
      <c r="J27" s="22">
        <v>4.5</v>
      </c>
      <c r="K27" s="22">
        <v>0.4</v>
      </c>
      <c r="L27" s="22">
        <f t="shared" ref="L27:L33" si="1">(N27/J27)*100</f>
        <v>100</v>
      </c>
      <c r="M27" s="22" t="s">
        <v>986</v>
      </c>
      <c r="N27" s="22">
        <v>4.5</v>
      </c>
      <c r="O27" s="22" t="s">
        <v>986</v>
      </c>
      <c r="P27" s="19" t="s">
        <v>152</v>
      </c>
      <c r="Q27" s="58"/>
    </row>
    <row r="28" spans="1:17">
      <c r="A28" s="19"/>
      <c r="B28" s="29"/>
      <c r="C28" s="29"/>
      <c r="D28" s="19"/>
      <c r="E28" s="19"/>
      <c r="F28" s="19"/>
      <c r="G28" s="19"/>
      <c r="H28" s="19"/>
      <c r="I28" s="19" t="s">
        <v>1195</v>
      </c>
      <c r="J28" s="22">
        <v>9.5</v>
      </c>
      <c r="K28" s="22">
        <v>0.8</v>
      </c>
      <c r="L28" s="22">
        <f t="shared" si="1"/>
        <v>63.157894736842103</v>
      </c>
      <c r="M28" s="22" t="s">
        <v>986</v>
      </c>
      <c r="N28" s="22">
        <v>6</v>
      </c>
      <c r="O28" s="22" t="s">
        <v>986</v>
      </c>
      <c r="P28" s="19" t="s">
        <v>152</v>
      </c>
      <c r="Q28" s="58"/>
    </row>
    <row r="29" spans="1:17">
      <c r="A29" s="19"/>
      <c r="B29" s="29"/>
      <c r="C29" s="29"/>
      <c r="D29" s="19"/>
      <c r="E29" s="19"/>
      <c r="F29" s="19"/>
      <c r="G29" s="19"/>
      <c r="H29" s="19"/>
      <c r="I29" s="19" t="s">
        <v>1091</v>
      </c>
      <c r="J29" s="22">
        <v>22.7</v>
      </c>
      <c r="K29" s="22">
        <v>3</v>
      </c>
      <c r="L29" s="22">
        <f t="shared" si="1"/>
        <v>2.643171806167401</v>
      </c>
      <c r="M29" s="22" t="s">
        <v>986</v>
      </c>
      <c r="N29" s="22">
        <v>0.6</v>
      </c>
      <c r="O29" s="22" t="s">
        <v>986</v>
      </c>
      <c r="P29" s="19" t="s">
        <v>152</v>
      </c>
      <c r="Q29" s="58"/>
    </row>
    <row r="30" spans="1:17">
      <c r="A30" s="19"/>
      <c r="B30" s="29"/>
      <c r="C30" s="29"/>
      <c r="D30" s="19"/>
      <c r="E30" s="19"/>
      <c r="F30" s="19"/>
      <c r="G30" s="19"/>
      <c r="H30" s="19"/>
      <c r="I30" s="19" t="s">
        <v>1092</v>
      </c>
      <c r="J30" s="22">
        <v>0.5</v>
      </c>
      <c r="K30" s="22">
        <v>0.3</v>
      </c>
      <c r="L30" s="22">
        <f t="shared" si="1"/>
        <v>100</v>
      </c>
      <c r="M30" s="22" t="s">
        <v>986</v>
      </c>
      <c r="N30" s="22">
        <v>0.5</v>
      </c>
      <c r="O30" s="22" t="s">
        <v>986</v>
      </c>
      <c r="P30" s="19" t="s">
        <v>152</v>
      </c>
      <c r="Q30" s="58"/>
    </row>
    <row r="31" spans="1:17">
      <c r="A31" s="19"/>
      <c r="B31" s="29"/>
      <c r="C31" s="29"/>
      <c r="D31" s="19"/>
      <c r="E31" s="19"/>
      <c r="F31" s="19"/>
      <c r="G31" s="19"/>
      <c r="H31" s="19"/>
      <c r="I31" s="19" t="s">
        <v>1093</v>
      </c>
      <c r="J31" s="22">
        <v>0.1</v>
      </c>
      <c r="K31" s="22">
        <v>0.1</v>
      </c>
      <c r="L31" s="22">
        <f t="shared" si="1"/>
        <v>100</v>
      </c>
      <c r="M31" s="22" t="s">
        <v>986</v>
      </c>
      <c r="N31" s="22">
        <v>0.1</v>
      </c>
      <c r="O31" s="22" t="s">
        <v>986</v>
      </c>
      <c r="P31" s="19" t="s">
        <v>152</v>
      </c>
      <c r="Q31" s="58"/>
    </row>
    <row r="32" spans="1:17">
      <c r="A32" s="19"/>
      <c r="B32" s="29"/>
      <c r="C32" s="29"/>
      <c r="D32" s="19"/>
      <c r="E32" s="19"/>
      <c r="F32" s="19"/>
      <c r="G32" s="19"/>
      <c r="H32" s="19"/>
      <c r="I32" s="19" t="s">
        <v>1204</v>
      </c>
      <c r="J32" s="22">
        <v>1.3</v>
      </c>
      <c r="K32" s="22">
        <v>0.4</v>
      </c>
      <c r="L32" s="22">
        <f t="shared" si="1"/>
        <v>100</v>
      </c>
      <c r="M32" s="22" t="s">
        <v>986</v>
      </c>
      <c r="N32" s="22">
        <v>1.3</v>
      </c>
      <c r="O32" s="22" t="s">
        <v>986</v>
      </c>
      <c r="P32" s="19" t="s">
        <v>152</v>
      </c>
      <c r="Q32" s="58"/>
    </row>
    <row r="33" spans="1:19" ht="14" thickBot="1">
      <c r="A33" s="19"/>
      <c r="B33" s="29"/>
      <c r="C33" s="29"/>
      <c r="D33" s="19"/>
      <c r="E33" s="19"/>
      <c r="F33" s="19"/>
      <c r="G33" s="19"/>
      <c r="H33" s="19"/>
      <c r="I33" s="38" t="s">
        <v>485</v>
      </c>
      <c r="J33" s="45">
        <v>126.1</v>
      </c>
      <c r="K33" s="45" t="s">
        <v>1046</v>
      </c>
      <c r="L33" s="45">
        <f t="shared" si="1"/>
        <v>49.325931800158607</v>
      </c>
      <c r="M33" s="45" t="s">
        <v>1046</v>
      </c>
      <c r="N33" s="45">
        <v>62.2</v>
      </c>
      <c r="O33" s="45" t="s">
        <v>1046</v>
      </c>
      <c r="P33" s="19" t="s">
        <v>152</v>
      </c>
      <c r="Q33" s="58"/>
    </row>
    <row r="34" spans="1:19" s="58" customFormat="1" ht="15">
      <c r="A34" s="3"/>
      <c r="B34" s="5"/>
      <c r="C34" s="5"/>
      <c r="D34" s="3"/>
      <c r="E34" s="3"/>
      <c r="F34" s="3"/>
      <c r="G34" s="3"/>
      <c r="H34" s="3"/>
      <c r="I34" s="47" t="s">
        <v>912</v>
      </c>
      <c r="J34" s="51">
        <f t="shared" ref="J34:J43" si="2">ROUND(AVERAGE(J4,J14,J24),1)</f>
        <v>105.6</v>
      </c>
      <c r="K34" s="51">
        <f t="shared" ref="K34:K43" si="3">ROUND(STDEV(J4,J14,J24),1)</f>
        <v>47.5</v>
      </c>
      <c r="L34" s="51" t="s">
        <v>2000</v>
      </c>
      <c r="M34" s="51" t="s">
        <v>2000</v>
      </c>
      <c r="N34" s="51" t="s">
        <v>2000</v>
      </c>
      <c r="O34" s="52" t="s">
        <v>2000</v>
      </c>
      <c r="P34" s="3"/>
    </row>
    <row r="35" spans="1:19" s="58" customFormat="1" ht="15">
      <c r="A35" s="3"/>
      <c r="B35" s="5"/>
      <c r="C35" s="5"/>
      <c r="D35" s="3"/>
      <c r="E35" s="3"/>
      <c r="F35" s="3"/>
      <c r="G35" s="3"/>
      <c r="H35" s="3"/>
      <c r="I35" s="48" t="s">
        <v>913</v>
      </c>
      <c r="J35" s="53">
        <f t="shared" si="2"/>
        <v>10.5</v>
      </c>
      <c r="K35" s="53">
        <f t="shared" si="3"/>
        <v>4.7</v>
      </c>
      <c r="L35" s="53" t="s">
        <v>2000</v>
      </c>
      <c r="M35" s="53" t="s">
        <v>2000</v>
      </c>
      <c r="N35" s="53">
        <f>ROUND(AVERAGE(N5,N15,N25),1)</f>
        <v>76.2</v>
      </c>
      <c r="O35" s="54">
        <f>ROUND(STDEV(N5,N15,N25),1)</f>
        <v>30.9</v>
      </c>
      <c r="P35" s="3"/>
    </row>
    <row r="36" spans="1:19" s="58" customFormat="1" ht="15">
      <c r="A36" s="3"/>
      <c r="B36" s="5"/>
      <c r="C36" s="5"/>
      <c r="D36" s="3"/>
      <c r="E36" s="3"/>
      <c r="F36" s="3"/>
      <c r="G36" s="3"/>
      <c r="H36" s="3"/>
      <c r="I36" s="48" t="s">
        <v>945</v>
      </c>
      <c r="J36" s="53">
        <f t="shared" si="2"/>
        <v>21.8</v>
      </c>
      <c r="K36" s="53">
        <f t="shared" si="3"/>
        <v>8.6999999999999993</v>
      </c>
      <c r="L36" s="53" t="s">
        <v>2000</v>
      </c>
      <c r="M36" s="53" t="s">
        <v>2000</v>
      </c>
      <c r="N36" s="53" t="s">
        <v>2000</v>
      </c>
      <c r="O36" s="54" t="s">
        <v>2000</v>
      </c>
      <c r="P36" s="3"/>
    </row>
    <row r="37" spans="1:19" s="58" customFormat="1" ht="15">
      <c r="A37" s="3"/>
      <c r="B37" s="5"/>
      <c r="C37" s="5"/>
      <c r="D37" s="3"/>
      <c r="E37" s="3"/>
      <c r="F37" s="3"/>
      <c r="G37" s="3"/>
      <c r="H37" s="3"/>
      <c r="I37" s="48" t="s">
        <v>1205</v>
      </c>
      <c r="J37" s="53">
        <f t="shared" si="2"/>
        <v>3.7</v>
      </c>
      <c r="K37" s="53">
        <f t="shared" si="3"/>
        <v>0.7</v>
      </c>
      <c r="L37" s="53">
        <f t="shared" ref="L37:L43" si="4">ROUND(AVERAGE(L7,L17,L27),1)</f>
        <v>100</v>
      </c>
      <c r="M37" s="53">
        <f t="shared" ref="M37:M43" si="5">ROUND(STDEV(L7,L17,L27),1)</f>
        <v>0</v>
      </c>
      <c r="N37" s="53">
        <f t="shared" ref="N37:N43" si="6">ROUND(AVERAGE(N7,N17,N27),1)</f>
        <v>3.7</v>
      </c>
      <c r="O37" s="54">
        <f t="shared" ref="O37:O43" si="7">ROUND(STDEV(N7,N17,N27),1)</f>
        <v>0.7</v>
      </c>
      <c r="P37" s="3"/>
    </row>
    <row r="38" spans="1:19" ht="15">
      <c r="I38" s="48" t="s">
        <v>1426</v>
      </c>
      <c r="J38" s="53">
        <f t="shared" si="2"/>
        <v>11</v>
      </c>
      <c r="K38" s="53">
        <f t="shared" si="3"/>
        <v>1.6</v>
      </c>
      <c r="L38" s="53">
        <f t="shared" si="4"/>
        <v>83.4</v>
      </c>
      <c r="M38" s="53">
        <f t="shared" si="5"/>
        <v>17.600000000000001</v>
      </c>
      <c r="N38" s="53">
        <f t="shared" si="6"/>
        <v>9.3000000000000007</v>
      </c>
      <c r="O38" s="54">
        <f t="shared" si="7"/>
        <v>3</v>
      </c>
    </row>
    <row r="39" spans="1:19" ht="15">
      <c r="I39" s="48" t="s">
        <v>1082</v>
      </c>
      <c r="J39" s="53">
        <f t="shared" si="2"/>
        <v>23.3</v>
      </c>
      <c r="K39" s="53">
        <f t="shared" si="3"/>
        <v>3.4</v>
      </c>
      <c r="L39" s="53">
        <f t="shared" si="4"/>
        <v>9.6999999999999993</v>
      </c>
      <c r="M39" s="53">
        <f t="shared" si="5"/>
        <v>6.2</v>
      </c>
      <c r="N39" s="53">
        <f t="shared" si="6"/>
        <v>2.2999999999999998</v>
      </c>
      <c r="O39" s="54">
        <f t="shared" si="7"/>
        <v>1.6</v>
      </c>
    </row>
    <row r="40" spans="1:19" ht="15">
      <c r="I40" s="48" t="s">
        <v>1084</v>
      </c>
      <c r="J40" s="53">
        <f t="shared" si="2"/>
        <v>0.5</v>
      </c>
      <c r="K40" s="53">
        <f t="shared" si="3"/>
        <v>0.1</v>
      </c>
      <c r="L40" s="53">
        <f t="shared" si="4"/>
        <v>108.3</v>
      </c>
      <c r="M40" s="53">
        <f t="shared" si="5"/>
        <v>14.4</v>
      </c>
      <c r="N40" s="53">
        <f t="shared" si="6"/>
        <v>0.5</v>
      </c>
      <c r="O40" s="54">
        <f t="shared" si="7"/>
        <v>0</v>
      </c>
    </row>
    <row r="41" spans="1:19" ht="15">
      <c r="I41" s="48" t="s">
        <v>1085</v>
      </c>
      <c r="J41" s="53">
        <f t="shared" si="2"/>
        <v>0.1</v>
      </c>
      <c r="K41" s="53">
        <f t="shared" si="3"/>
        <v>0.1</v>
      </c>
      <c r="L41" s="53">
        <f t="shared" si="4"/>
        <v>100</v>
      </c>
      <c r="M41" s="53">
        <f t="shared" si="5"/>
        <v>0</v>
      </c>
      <c r="N41" s="53">
        <f t="shared" si="6"/>
        <v>0.1</v>
      </c>
      <c r="O41" s="54">
        <f t="shared" si="7"/>
        <v>0.1</v>
      </c>
    </row>
    <row r="42" spans="1:19" ht="15">
      <c r="I42" s="48" t="s">
        <v>1086</v>
      </c>
      <c r="J42" s="53">
        <f t="shared" si="2"/>
        <v>0.7</v>
      </c>
      <c r="K42" s="53">
        <f t="shared" si="3"/>
        <v>0.5</v>
      </c>
      <c r="L42" s="53">
        <f t="shared" si="4"/>
        <v>100</v>
      </c>
      <c r="M42" s="53">
        <f t="shared" si="5"/>
        <v>0</v>
      </c>
      <c r="N42" s="53">
        <f t="shared" si="6"/>
        <v>0.7</v>
      </c>
      <c r="O42" s="54">
        <f t="shared" si="7"/>
        <v>0.5</v>
      </c>
    </row>
    <row r="43" spans="1:19" ht="16" thickBot="1">
      <c r="I43" s="49" t="s">
        <v>397</v>
      </c>
      <c r="J43" s="55">
        <f t="shared" si="2"/>
        <v>177</v>
      </c>
      <c r="K43" s="55">
        <f t="shared" si="3"/>
        <v>49.1</v>
      </c>
      <c r="L43" s="55">
        <f t="shared" si="4"/>
        <v>51.6</v>
      </c>
      <c r="M43" s="55">
        <f t="shared" si="5"/>
        <v>5.5</v>
      </c>
      <c r="N43" s="55">
        <f t="shared" si="6"/>
        <v>92.7</v>
      </c>
      <c r="O43" s="56">
        <f t="shared" si="7"/>
        <v>34.200000000000003</v>
      </c>
    </row>
    <row r="44" spans="1:19" s="58" customFormat="1" ht="12" customHeight="1" thickBot="1">
      <c r="A44" s="3"/>
      <c r="B44" s="5"/>
      <c r="C44" s="5"/>
      <c r="D44" s="3"/>
      <c r="E44" s="3"/>
      <c r="F44" s="3"/>
      <c r="G44" s="44"/>
      <c r="H44" s="3"/>
      <c r="I44" s="3"/>
      <c r="J44" s="404"/>
      <c r="K44" s="404"/>
      <c r="L44" s="404"/>
      <c r="M44" s="404"/>
      <c r="N44" s="405"/>
      <c r="O44" s="405"/>
      <c r="P44" s="3"/>
    </row>
    <row r="45" spans="1:19" s="26" customFormat="1" ht="14" thickBot="1">
      <c r="A45" s="19" t="s">
        <v>48</v>
      </c>
      <c r="B45" s="29" t="s">
        <v>947</v>
      </c>
      <c r="C45" s="29" t="s">
        <v>1288</v>
      </c>
      <c r="D45" s="19" t="s">
        <v>946</v>
      </c>
      <c r="E45" s="19">
        <v>1983</v>
      </c>
      <c r="F45" s="19">
        <v>4</v>
      </c>
      <c r="G45" s="19">
        <v>13</v>
      </c>
      <c r="H45" s="27" t="s">
        <v>1047</v>
      </c>
      <c r="I45" s="90" t="s">
        <v>294</v>
      </c>
      <c r="J45" s="399">
        <v>21.3</v>
      </c>
      <c r="K45" s="399">
        <v>1.2</v>
      </c>
      <c r="L45" s="399">
        <v>11</v>
      </c>
      <c r="M45" s="399" t="s">
        <v>1046</v>
      </c>
      <c r="N45" s="399">
        <v>2.2999999999999998</v>
      </c>
      <c r="O45" s="400" t="s">
        <v>1046</v>
      </c>
      <c r="P45" s="30" t="s">
        <v>45</v>
      </c>
    </row>
    <row r="46" spans="1:19" s="1" customFormat="1">
      <c r="A46" s="3"/>
      <c r="B46" s="5"/>
      <c r="C46" s="5"/>
      <c r="D46" s="3"/>
      <c r="E46" s="3"/>
      <c r="F46" s="3"/>
      <c r="G46" s="3"/>
      <c r="H46" s="3"/>
      <c r="I46" s="3"/>
      <c r="J46" s="404"/>
      <c r="K46" s="404"/>
      <c r="L46" s="404"/>
      <c r="M46" s="404"/>
      <c r="N46" s="404"/>
      <c r="O46" s="404"/>
      <c r="P46" s="3"/>
    </row>
    <row r="47" spans="1:19">
      <c r="A47" s="19" t="s">
        <v>48</v>
      </c>
      <c r="B47" s="29" t="s">
        <v>1269</v>
      </c>
      <c r="C47" s="29" t="s">
        <v>1270</v>
      </c>
      <c r="D47" s="19" t="s">
        <v>262</v>
      </c>
      <c r="E47" s="19" t="s">
        <v>263</v>
      </c>
      <c r="F47" s="19" t="s">
        <v>263</v>
      </c>
      <c r="G47" s="34" t="s">
        <v>263</v>
      </c>
      <c r="H47" s="19" t="s">
        <v>1047</v>
      </c>
      <c r="I47" s="21" t="s">
        <v>57</v>
      </c>
      <c r="J47" s="407" t="s">
        <v>2000</v>
      </c>
      <c r="K47" s="407" t="s">
        <v>2000</v>
      </c>
      <c r="L47" s="407" t="s">
        <v>2000</v>
      </c>
      <c r="M47" s="407" t="s">
        <v>2000</v>
      </c>
      <c r="N47" s="408">
        <v>8.1</v>
      </c>
      <c r="O47" s="408" t="s">
        <v>2000</v>
      </c>
      <c r="P47" s="34" t="s">
        <v>56</v>
      </c>
      <c r="Q47" s="392"/>
      <c r="R47" s="393">
        <v>34.799999999999997</v>
      </c>
      <c r="S47" s="394">
        <v>-82.6</v>
      </c>
    </row>
    <row r="48" spans="1:19">
      <c r="A48" s="19" t="s">
        <v>48</v>
      </c>
      <c r="B48" s="29" t="s">
        <v>33</v>
      </c>
      <c r="C48" s="29" t="s">
        <v>109</v>
      </c>
      <c r="D48" s="19" t="s">
        <v>110</v>
      </c>
      <c r="E48" s="19" t="s">
        <v>263</v>
      </c>
      <c r="F48" s="19" t="s">
        <v>263</v>
      </c>
      <c r="G48" s="34" t="s">
        <v>263</v>
      </c>
      <c r="H48" s="19" t="s">
        <v>111</v>
      </c>
      <c r="I48" s="21" t="s">
        <v>58</v>
      </c>
      <c r="J48" s="407" t="s">
        <v>2000</v>
      </c>
      <c r="K48" s="407" t="s">
        <v>2000</v>
      </c>
      <c r="L48" s="407" t="s">
        <v>2000</v>
      </c>
      <c r="M48" s="407" t="s">
        <v>2000</v>
      </c>
      <c r="N48" s="408">
        <v>6</v>
      </c>
      <c r="O48" s="408" t="s">
        <v>2000</v>
      </c>
      <c r="P48" s="34" t="s">
        <v>56</v>
      </c>
      <c r="Q48" s="392"/>
      <c r="R48" s="180">
        <v>34.799999999999997</v>
      </c>
      <c r="S48" s="181">
        <v>-82.6</v>
      </c>
    </row>
    <row r="49" spans="1:19" ht="14" thickBot="1">
      <c r="A49" s="19" t="s">
        <v>48</v>
      </c>
      <c r="B49" s="29" t="s">
        <v>33</v>
      </c>
      <c r="C49" s="29" t="s">
        <v>109</v>
      </c>
      <c r="D49" s="19" t="s">
        <v>110</v>
      </c>
      <c r="E49" s="19" t="s">
        <v>263</v>
      </c>
      <c r="F49" s="19" t="s">
        <v>263</v>
      </c>
      <c r="G49" s="34" t="s">
        <v>263</v>
      </c>
      <c r="H49" s="19" t="s">
        <v>111</v>
      </c>
      <c r="I49" s="398" t="s">
        <v>58</v>
      </c>
      <c r="J49" s="409" t="s">
        <v>2000</v>
      </c>
      <c r="K49" s="409" t="s">
        <v>2000</v>
      </c>
      <c r="L49" s="409" t="s">
        <v>2000</v>
      </c>
      <c r="M49" s="409" t="s">
        <v>2000</v>
      </c>
      <c r="N49" s="410">
        <v>1.4</v>
      </c>
      <c r="O49" s="410" t="s">
        <v>2000</v>
      </c>
      <c r="P49" s="34" t="s">
        <v>56</v>
      </c>
      <c r="Q49" s="392"/>
      <c r="R49" s="180">
        <v>34.799999999999997</v>
      </c>
      <c r="S49" s="181">
        <v>-82.6</v>
      </c>
    </row>
    <row r="50" spans="1:19" ht="14" thickBot="1">
      <c r="A50" s="3"/>
      <c r="B50" s="5"/>
      <c r="C50" s="5"/>
      <c r="D50" s="3"/>
      <c r="E50" s="3"/>
      <c r="F50" s="3"/>
      <c r="G50" s="44"/>
      <c r="H50" s="3"/>
      <c r="I50" s="411" t="s">
        <v>59</v>
      </c>
      <c r="J50" s="399" t="s">
        <v>2000</v>
      </c>
      <c r="K50" s="399" t="s">
        <v>2000</v>
      </c>
      <c r="L50" s="399" t="s">
        <v>2000</v>
      </c>
      <c r="M50" s="401"/>
      <c r="N50" s="402">
        <f>ROUND(AVERAGE(N47:N49),1)</f>
        <v>5.2</v>
      </c>
      <c r="O50" s="403">
        <f>ROUND(STDEV(N47:N49),1)</f>
        <v>3.4</v>
      </c>
      <c r="P50" s="397"/>
      <c r="R50" s="182">
        <v>34.799999999999997</v>
      </c>
      <c r="S50" s="183">
        <v>-82.6</v>
      </c>
    </row>
    <row r="51" spans="1:19">
      <c r="A51" s="35"/>
      <c r="B51" s="5"/>
      <c r="C51" s="5"/>
      <c r="D51" s="3"/>
      <c r="E51" s="3"/>
      <c r="F51" s="3"/>
      <c r="G51" s="44"/>
      <c r="H51" s="3"/>
      <c r="I51" s="3"/>
      <c r="J51" s="404"/>
      <c r="K51" s="404"/>
      <c r="L51" s="404"/>
      <c r="M51" s="405"/>
      <c r="N51" s="405"/>
      <c r="O51" s="406"/>
      <c r="P51" s="396"/>
      <c r="R51" s="395"/>
      <c r="S51" s="395"/>
    </row>
    <row r="52" spans="1:19" s="1" customFormat="1">
      <c r="A52" s="19" t="s">
        <v>48</v>
      </c>
      <c r="B52" s="29" t="s">
        <v>1030</v>
      </c>
      <c r="C52" s="29" t="s">
        <v>1031</v>
      </c>
      <c r="D52" s="19" t="s">
        <v>770</v>
      </c>
      <c r="E52" s="19" t="s">
        <v>253</v>
      </c>
      <c r="F52" s="19" t="s">
        <v>253</v>
      </c>
      <c r="G52" s="34" t="s">
        <v>253</v>
      </c>
      <c r="H52" s="19" t="s">
        <v>1051</v>
      </c>
      <c r="I52" s="19" t="s">
        <v>253</v>
      </c>
      <c r="J52" s="407" t="s">
        <v>2000</v>
      </c>
      <c r="K52" s="407" t="s">
        <v>2000</v>
      </c>
      <c r="L52" s="407" t="s">
        <v>2000</v>
      </c>
      <c r="M52" s="407" t="s">
        <v>2000</v>
      </c>
      <c r="N52" s="408">
        <v>7.4</v>
      </c>
      <c r="O52" s="408" t="s">
        <v>2000</v>
      </c>
      <c r="P52" s="19" t="s">
        <v>270</v>
      </c>
    </row>
    <row r="53" spans="1:19" s="1" customFormat="1">
      <c r="A53" s="19" t="s">
        <v>48</v>
      </c>
      <c r="B53" s="29" t="s">
        <v>1094</v>
      </c>
      <c r="C53" s="29" t="s">
        <v>1095</v>
      </c>
      <c r="D53" s="19" t="s">
        <v>1096</v>
      </c>
      <c r="E53" s="19" t="s">
        <v>253</v>
      </c>
      <c r="F53" s="19" t="s">
        <v>253</v>
      </c>
      <c r="G53" s="34" t="s">
        <v>253</v>
      </c>
      <c r="H53" s="19" t="s">
        <v>1051</v>
      </c>
      <c r="I53" s="19" t="s">
        <v>253</v>
      </c>
      <c r="J53" s="407" t="s">
        <v>2000</v>
      </c>
      <c r="K53" s="407" t="s">
        <v>2000</v>
      </c>
      <c r="L53" s="407" t="s">
        <v>2000</v>
      </c>
      <c r="M53" s="407" t="s">
        <v>2000</v>
      </c>
      <c r="N53" s="408">
        <v>6.5</v>
      </c>
      <c r="O53" s="408" t="s">
        <v>2000</v>
      </c>
      <c r="P53" s="19" t="s">
        <v>44</v>
      </c>
    </row>
    <row r="54" spans="1:19" s="1" customFormat="1">
      <c r="A54" s="19" t="s">
        <v>48</v>
      </c>
      <c r="B54" s="29" t="s">
        <v>1094</v>
      </c>
      <c r="C54" s="29" t="s">
        <v>1095</v>
      </c>
      <c r="D54" s="19" t="s">
        <v>1096</v>
      </c>
      <c r="E54" s="19" t="s">
        <v>253</v>
      </c>
      <c r="F54" s="19" t="s">
        <v>253</v>
      </c>
      <c r="G54" s="34" t="s">
        <v>253</v>
      </c>
      <c r="H54" s="19" t="s">
        <v>1051</v>
      </c>
      <c r="I54" s="19" t="s">
        <v>253</v>
      </c>
      <c r="J54" s="407" t="s">
        <v>2000</v>
      </c>
      <c r="K54" s="407" t="s">
        <v>2000</v>
      </c>
      <c r="L54" s="407" t="s">
        <v>2000</v>
      </c>
      <c r="M54" s="407" t="s">
        <v>2000</v>
      </c>
      <c r="N54" s="408">
        <v>18.7</v>
      </c>
      <c r="O54" s="408" t="s">
        <v>2000</v>
      </c>
      <c r="P54" s="19" t="s">
        <v>46</v>
      </c>
    </row>
    <row r="55" spans="1:19" s="1" customFormat="1" ht="14" thickBot="1">
      <c r="A55" s="19" t="s">
        <v>48</v>
      </c>
      <c r="B55" s="29" t="s">
        <v>1094</v>
      </c>
      <c r="C55" s="29" t="s">
        <v>1095</v>
      </c>
      <c r="D55" s="19" t="s">
        <v>1096</v>
      </c>
      <c r="E55" s="19" t="s">
        <v>253</v>
      </c>
      <c r="F55" s="19" t="s">
        <v>253</v>
      </c>
      <c r="G55" s="34" t="s">
        <v>253</v>
      </c>
      <c r="H55" s="19" t="s">
        <v>1051</v>
      </c>
      <c r="I55" s="38" t="s">
        <v>253</v>
      </c>
      <c r="J55" s="409" t="s">
        <v>2000</v>
      </c>
      <c r="K55" s="409" t="s">
        <v>2000</v>
      </c>
      <c r="L55" s="409" t="s">
        <v>2000</v>
      </c>
      <c r="M55" s="409" t="s">
        <v>2000</v>
      </c>
      <c r="N55" s="410">
        <v>25.4</v>
      </c>
      <c r="O55" s="410" t="s">
        <v>2000</v>
      </c>
      <c r="P55" s="19" t="s">
        <v>151</v>
      </c>
    </row>
    <row r="56" spans="1:19" s="1" customFormat="1" ht="14" thickBot="1">
      <c r="A56" s="3"/>
      <c r="B56" s="5"/>
      <c r="C56" s="5"/>
      <c r="D56" s="3"/>
      <c r="E56" s="3"/>
      <c r="F56" s="3"/>
      <c r="G56" s="44"/>
      <c r="H56" s="3"/>
      <c r="I56" s="90" t="s">
        <v>324</v>
      </c>
      <c r="J56" s="399" t="s">
        <v>2000</v>
      </c>
      <c r="K56" s="399" t="s">
        <v>2000</v>
      </c>
      <c r="L56" s="399" t="s">
        <v>2000</v>
      </c>
      <c r="M56" s="399" t="s">
        <v>2000</v>
      </c>
      <c r="N56" s="402">
        <f>AVERAGE(N52:N55)</f>
        <v>14.5</v>
      </c>
      <c r="O56" s="403">
        <f>STDEV(N52:N55)</f>
        <v>9.1443971917234634</v>
      </c>
      <c r="P56" s="3"/>
    </row>
    <row r="57" spans="1:19" s="58" customFormat="1">
      <c r="A57" s="3"/>
      <c r="B57" s="5"/>
      <c r="C57" s="5"/>
      <c r="D57" s="3"/>
      <c r="E57" s="3"/>
      <c r="F57" s="3"/>
      <c r="G57" s="44"/>
      <c r="H57" s="3"/>
      <c r="I57" s="3"/>
      <c r="J57" s="3"/>
      <c r="K57" s="3"/>
      <c r="L57" s="3"/>
      <c r="M57" s="3"/>
      <c r="N57" s="65"/>
      <c r="O57" s="65"/>
      <c r="P57" s="3"/>
    </row>
    <row r="58" spans="1:19" s="1" customFormat="1">
      <c r="A58" s="390"/>
      <c r="B58" s="391"/>
      <c r="C58" s="391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</row>
    <row r="59" spans="1:19" s="58" customFormat="1">
      <c r="A59" s="3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9">
      <c r="A60" s="19" t="s">
        <v>1191</v>
      </c>
      <c r="B60" s="29" t="s">
        <v>1192</v>
      </c>
      <c r="C60" s="29" t="s">
        <v>1193</v>
      </c>
      <c r="D60" s="19" t="s">
        <v>890</v>
      </c>
      <c r="E60" s="19" t="s">
        <v>1117</v>
      </c>
      <c r="F60" s="19" t="s">
        <v>1118</v>
      </c>
      <c r="G60" s="34" t="s">
        <v>1046</v>
      </c>
      <c r="H60" s="19" t="s">
        <v>1047</v>
      </c>
      <c r="I60" s="19" t="s">
        <v>54</v>
      </c>
      <c r="J60" s="22">
        <v>11.2</v>
      </c>
      <c r="K60" s="22">
        <v>0.7</v>
      </c>
      <c r="L60" s="22">
        <v>49</v>
      </c>
      <c r="M60" s="22">
        <v>6</v>
      </c>
      <c r="N60" s="22">
        <v>5.5</v>
      </c>
      <c r="O60" s="22">
        <v>0.3</v>
      </c>
      <c r="P60" s="19" t="s">
        <v>1119</v>
      </c>
    </row>
    <row r="61" spans="1:19" ht="14" thickBot="1">
      <c r="A61" s="19" t="s">
        <v>1191</v>
      </c>
      <c r="B61" s="29" t="s">
        <v>1192</v>
      </c>
      <c r="C61" s="29" t="s">
        <v>1253</v>
      </c>
      <c r="D61" s="19" t="s">
        <v>890</v>
      </c>
      <c r="E61" s="19" t="s">
        <v>1360</v>
      </c>
      <c r="F61" s="19" t="s">
        <v>1262</v>
      </c>
      <c r="G61" s="34" t="s">
        <v>1046</v>
      </c>
      <c r="H61" s="19" t="s">
        <v>1047</v>
      </c>
      <c r="I61" s="19" t="s">
        <v>55</v>
      </c>
      <c r="J61" s="45">
        <v>9.6</v>
      </c>
      <c r="K61" s="45">
        <v>0.5</v>
      </c>
      <c r="L61" s="45">
        <v>41</v>
      </c>
      <c r="M61" s="45">
        <v>6</v>
      </c>
      <c r="N61" s="45">
        <v>3.9</v>
      </c>
      <c r="O61" s="45">
        <v>0.2</v>
      </c>
      <c r="P61" s="19" t="s">
        <v>1263</v>
      </c>
    </row>
    <row r="62" spans="1:19" ht="14" thickBot="1">
      <c r="A62" s="3"/>
      <c r="B62" s="5"/>
      <c r="C62" s="5"/>
      <c r="D62" s="3"/>
      <c r="E62" s="3"/>
      <c r="F62" s="3"/>
      <c r="G62" s="44"/>
      <c r="H62" s="3"/>
      <c r="I62" s="113" t="s">
        <v>83</v>
      </c>
      <c r="J62" s="70">
        <f>AVERAGE(J60:J61)</f>
        <v>10.399999999999999</v>
      </c>
      <c r="K62" s="70" t="s">
        <v>253</v>
      </c>
      <c r="L62" s="70">
        <f t="shared" ref="L62:N62" si="8">AVERAGE(L60:L61)</f>
        <v>45</v>
      </c>
      <c r="M62" s="70" t="s">
        <v>253</v>
      </c>
      <c r="N62" s="70">
        <f t="shared" si="8"/>
        <v>4.7</v>
      </c>
      <c r="O62" s="71" t="s">
        <v>253</v>
      </c>
      <c r="P62" s="3"/>
    </row>
    <row r="63" spans="1:19" s="58" customFormat="1">
      <c r="A63" s="3"/>
      <c r="B63" s="5"/>
      <c r="C63" s="5"/>
      <c r="D63" s="3"/>
      <c r="E63" s="3"/>
      <c r="F63" s="3"/>
      <c r="G63" s="44"/>
      <c r="H63" s="3"/>
      <c r="I63" s="3"/>
      <c r="J63" s="3"/>
      <c r="K63" s="3"/>
      <c r="L63" s="3"/>
      <c r="M63" s="3"/>
      <c r="N63" s="3"/>
      <c r="O63" s="3"/>
      <c r="P63" s="3"/>
    </row>
    <row r="64" spans="1:19" s="1" customFormat="1">
      <c r="A64" s="293"/>
      <c r="B64" s="297"/>
      <c r="C64" s="297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</row>
    <row r="65" spans="1:16" s="58" customFormat="1" ht="14" thickBot="1">
      <c r="A65" s="3"/>
      <c r="B65" s="5"/>
      <c r="C65" s="5"/>
      <c r="D65" s="3"/>
      <c r="E65" s="3"/>
      <c r="F65" s="3"/>
      <c r="G65" s="44"/>
      <c r="H65" s="3"/>
      <c r="I65" s="3"/>
      <c r="J65" s="3"/>
      <c r="K65" s="3"/>
      <c r="L65" s="3"/>
      <c r="M65" s="3"/>
      <c r="N65" s="65"/>
      <c r="O65" s="65"/>
      <c r="P65" s="3"/>
    </row>
    <row r="66" spans="1:16" ht="15">
      <c r="A66" s="19" t="s">
        <v>1190</v>
      </c>
      <c r="B66" s="29" t="s">
        <v>849</v>
      </c>
      <c r="C66" s="29" t="s">
        <v>850</v>
      </c>
      <c r="D66" s="19" t="s">
        <v>978</v>
      </c>
      <c r="E66" s="19">
        <v>1992</v>
      </c>
      <c r="F66" s="19">
        <v>10</v>
      </c>
      <c r="G66" s="19" t="s">
        <v>1046</v>
      </c>
      <c r="H66" s="27" t="s">
        <v>1047</v>
      </c>
      <c r="I66" s="47" t="s">
        <v>979</v>
      </c>
      <c r="J66" s="51">
        <v>0.4</v>
      </c>
      <c r="K66" s="51" t="s">
        <v>986</v>
      </c>
      <c r="L66" s="51">
        <v>97</v>
      </c>
      <c r="M66" s="51" t="s">
        <v>986</v>
      </c>
      <c r="N66" s="51">
        <f t="shared" ref="N66:N72" si="9">ROUND(J66*(L66/100),1)</f>
        <v>0.4</v>
      </c>
      <c r="O66" s="52" t="s">
        <v>986</v>
      </c>
      <c r="P66" s="30" t="s">
        <v>532</v>
      </c>
    </row>
    <row r="67" spans="1:16" ht="15">
      <c r="A67" s="19" t="s">
        <v>1190</v>
      </c>
      <c r="B67" s="29" t="s">
        <v>849</v>
      </c>
      <c r="C67" s="29" t="s">
        <v>850</v>
      </c>
      <c r="D67" s="19" t="s">
        <v>978</v>
      </c>
      <c r="E67" s="19">
        <v>1992</v>
      </c>
      <c r="F67" s="19">
        <v>10</v>
      </c>
      <c r="G67" s="19" t="s">
        <v>1046</v>
      </c>
      <c r="H67" s="27" t="s">
        <v>1047</v>
      </c>
      <c r="I67" s="48" t="s">
        <v>980</v>
      </c>
      <c r="J67" s="53">
        <v>3</v>
      </c>
      <c r="K67" s="53" t="s">
        <v>986</v>
      </c>
      <c r="L67" s="53">
        <v>89</v>
      </c>
      <c r="M67" s="53" t="s">
        <v>986</v>
      </c>
      <c r="N67" s="53">
        <f t="shared" si="9"/>
        <v>2.7</v>
      </c>
      <c r="O67" s="54" t="s">
        <v>986</v>
      </c>
      <c r="P67" s="30" t="s">
        <v>1826</v>
      </c>
    </row>
    <row r="68" spans="1:16" ht="15">
      <c r="A68" s="19" t="s">
        <v>1190</v>
      </c>
      <c r="B68" s="29" t="s">
        <v>849</v>
      </c>
      <c r="C68" s="29" t="s">
        <v>850</v>
      </c>
      <c r="D68" s="19" t="s">
        <v>978</v>
      </c>
      <c r="E68" s="19">
        <v>1992</v>
      </c>
      <c r="F68" s="19">
        <v>10</v>
      </c>
      <c r="G68" s="19" t="s">
        <v>1046</v>
      </c>
      <c r="H68" s="27" t="s">
        <v>1047</v>
      </c>
      <c r="I68" s="48" t="s">
        <v>1127</v>
      </c>
      <c r="J68" s="53">
        <v>5.2</v>
      </c>
      <c r="K68" s="53" t="s">
        <v>986</v>
      </c>
      <c r="L68" s="53">
        <v>87</v>
      </c>
      <c r="M68" s="53" t="s">
        <v>986</v>
      </c>
      <c r="N68" s="53">
        <f t="shared" si="9"/>
        <v>4.5</v>
      </c>
      <c r="O68" s="54" t="s">
        <v>986</v>
      </c>
      <c r="P68" s="30" t="s">
        <v>533</v>
      </c>
    </row>
    <row r="69" spans="1:16" ht="15">
      <c r="A69" s="19" t="s">
        <v>1190</v>
      </c>
      <c r="B69" s="29" t="s">
        <v>849</v>
      </c>
      <c r="C69" s="29" t="s">
        <v>850</v>
      </c>
      <c r="D69" s="19" t="s">
        <v>978</v>
      </c>
      <c r="E69" s="19">
        <v>1992</v>
      </c>
      <c r="F69" s="19">
        <v>10</v>
      </c>
      <c r="G69" s="19" t="s">
        <v>1046</v>
      </c>
      <c r="H69" s="27" t="s">
        <v>1047</v>
      </c>
      <c r="I69" s="48" t="s">
        <v>974</v>
      </c>
      <c r="J69" s="53">
        <v>18.5</v>
      </c>
      <c r="K69" s="53" t="s">
        <v>986</v>
      </c>
      <c r="L69" s="53">
        <v>85</v>
      </c>
      <c r="M69" s="53" t="s">
        <v>986</v>
      </c>
      <c r="N69" s="53">
        <f t="shared" si="9"/>
        <v>15.7</v>
      </c>
      <c r="O69" s="54" t="s">
        <v>986</v>
      </c>
      <c r="P69" s="30" t="s">
        <v>264</v>
      </c>
    </row>
    <row r="70" spans="1:16" ht="15">
      <c r="A70" s="19" t="s">
        <v>1190</v>
      </c>
      <c r="B70" s="29" t="s">
        <v>849</v>
      </c>
      <c r="C70" s="29" t="s">
        <v>850</v>
      </c>
      <c r="D70" s="19" t="s">
        <v>978</v>
      </c>
      <c r="E70" s="19">
        <v>1992</v>
      </c>
      <c r="F70" s="19">
        <v>10</v>
      </c>
      <c r="G70" s="19" t="s">
        <v>1046</v>
      </c>
      <c r="H70" s="27" t="s">
        <v>1047</v>
      </c>
      <c r="I70" s="48" t="s">
        <v>975</v>
      </c>
      <c r="J70" s="53">
        <v>23.7</v>
      </c>
      <c r="K70" s="53" t="s">
        <v>986</v>
      </c>
      <c r="L70" s="53">
        <v>99</v>
      </c>
      <c r="M70" s="53" t="s">
        <v>986</v>
      </c>
      <c r="N70" s="53">
        <f t="shared" si="9"/>
        <v>23.5</v>
      </c>
      <c r="O70" s="54" t="s">
        <v>986</v>
      </c>
      <c r="P70" s="30" t="s">
        <v>264</v>
      </c>
    </row>
    <row r="71" spans="1:16" ht="15">
      <c r="A71" s="19" t="s">
        <v>1190</v>
      </c>
      <c r="B71" s="29" t="s">
        <v>849</v>
      </c>
      <c r="C71" s="29" t="s">
        <v>850</v>
      </c>
      <c r="D71" s="19" t="s">
        <v>978</v>
      </c>
      <c r="E71" s="19">
        <v>1992</v>
      </c>
      <c r="F71" s="19">
        <v>10</v>
      </c>
      <c r="G71" s="19" t="s">
        <v>1046</v>
      </c>
      <c r="H71" s="27" t="s">
        <v>1047</v>
      </c>
      <c r="I71" s="48" t="s">
        <v>856</v>
      </c>
      <c r="J71" s="53">
        <v>50.7</v>
      </c>
      <c r="K71" s="53" t="s">
        <v>986</v>
      </c>
      <c r="L71" s="53">
        <v>91</v>
      </c>
      <c r="M71" s="53" t="s">
        <v>986</v>
      </c>
      <c r="N71" s="53">
        <f t="shared" si="9"/>
        <v>46.1</v>
      </c>
      <c r="O71" s="54" t="s">
        <v>986</v>
      </c>
      <c r="P71" s="30" t="s">
        <v>1826</v>
      </c>
    </row>
    <row r="72" spans="1:16" ht="15">
      <c r="A72" s="19" t="s">
        <v>1190</v>
      </c>
      <c r="B72" s="29" t="s">
        <v>849</v>
      </c>
      <c r="C72" s="29" t="s">
        <v>850</v>
      </c>
      <c r="D72" s="19" t="s">
        <v>978</v>
      </c>
      <c r="E72" s="19">
        <v>1992</v>
      </c>
      <c r="F72" s="19">
        <v>10</v>
      </c>
      <c r="G72" s="19" t="s">
        <v>1046</v>
      </c>
      <c r="H72" s="27" t="s">
        <v>1047</v>
      </c>
      <c r="I72" s="48" t="s">
        <v>977</v>
      </c>
      <c r="J72" s="53">
        <v>179.7</v>
      </c>
      <c r="K72" s="53" t="s">
        <v>986</v>
      </c>
      <c r="L72" s="53">
        <v>93</v>
      </c>
      <c r="M72" s="53" t="s">
        <v>986</v>
      </c>
      <c r="N72" s="53">
        <f t="shared" si="9"/>
        <v>167.1</v>
      </c>
      <c r="O72" s="54" t="s">
        <v>986</v>
      </c>
      <c r="P72" s="30" t="s">
        <v>1826</v>
      </c>
    </row>
    <row r="73" spans="1:16" ht="16" thickBot="1">
      <c r="A73" s="19" t="s">
        <v>1190</v>
      </c>
      <c r="B73" s="29" t="s">
        <v>849</v>
      </c>
      <c r="C73" s="29" t="s">
        <v>850</v>
      </c>
      <c r="D73" s="19" t="s">
        <v>978</v>
      </c>
      <c r="E73" s="19">
        <v>1992</v>
      </c>
      <c r="F73" s="19">
        <v>10</v>
      </c>
      <c r="G73" s="19" t="s">
        <v>1046</v>
      </c>
      <c r="H73" s="27" t="s">
        <v>1047</v>
      </c>
      <c r="I73" s="49" t="s">
        <v>485</v>
      </c>
      <c r="J73" s="55">
        <f>ROUND(SUM(J71:J72),1)</f>
        <v>230.4</v>
      </c>
      <c r="K73" s="55" t="s">
        <v>1046</v>
      </c>
      <c r="L73" s="55">
        <v>92</v>
      </c>
      <c r="M73" s="55" t="s">
        <v>1046</v>
      </c>
      <c r="N73" s="55">
        <f>ROUND(J73*(L73/100),1)</f>
        <v>212</v>
      </c>
      <c r="O73" s="56" t="s">
        <v>1046</v>
      </c>
      <c r="P73" s="30" t="s">
        <v>1826</v>
      </c>
    </row>
    <row r="74" spans="1:16" s="58" customFormat="1">
      <c r="A74" s="3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58" customFormat="1">
      <c r="A75" s="293"/>
      <c r="B75" s="297"/>
      <c r="C75" s="297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</row>
    <row r="76" spans="1:16" s="1" customFormat="1" ht="14" thickBot="1">
      <c r="A76" s="3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>
      <c r="A77" s="19" t="s">
        <v>1161</v>
      </c>
      <c r="B77" s="29" t="s">
        <v>1366</v>
      </c>
      <c r="C77" s="29" t="s">
        <v>1367</v>
      </c>
      <c r="D77" s="19" t="s">
        <v>1368</v>
      </c>
      <c r="E77" s="19">
        <v>2002</v>
      </c>
      <c r="F77" s="19">
        <v>10</v>
      </c>
      <c r="G77" s="19" t="s">
        <v>1272</v>
      </c>
      <c r="H77" s="27" t="s">
        <v>1047</v>
      </c>
      <c r="I77" s="47" t="s">
        <v>1273</v>
      </c>
      <c r="J77" s="51">
        <v>1.3</v>
      </c>
      <c r="K77" s="51">
        <v>0.8</v>
      </c>
      <c r="L77" s="51">
        <v>89</v>
      </c>
      <c r="M77" s="51" t="s">
        <v>986</v>
      </c>
      <c r="N77" s="51">
        <f>ROUND(J77*(L77/100),1)</f>
        <v>1.2</v>
      </c>
      <c r="O77" s="52" t="s">
        <v>986</v>
      </c>
      <c r="P77" s="30" t="s">
        <v>1274</v>
      </c>
    </row>
    <row r="78" spans="1:16" ht="15">
      <c r="A78" s="19" t="s">
        <v>1161</v>
      </c>
      <c r="B78" s="29" t="s">
        <v>1366</v>
      </c>
      <c r="C78" s="29" t="s">
        <v>1367</v>
      </c>
      <c r="D78" s="19" t="s">
        <v>1368</v>
      </c>
      <c r="E78" s="19">
        <v>2002</v>
      </c>
      <c r="F78" s="19">
        <v>10</v>
      </c>
      <c r="G78" s="19" t="s">
        <v>1272</v>
      </c>
      <c r="H78" s="27" t="s">
        <v>1047</v>
      </c>
      <c r="I78" s="48" t="s">
        <v>1275</v>
      </c>
      <c r="J78" s="53">
        <v>6.3</v>
      </c>
      <c r="K78" s="53">
        <v>3.7</v>
      </c>
      <c r="L78" s="53">
        <v>68</v>
      </c>
      <c r="M78" s="53" t="s">
        <v>986</v>
      </c>
      <c r="N78" s="53">
        <f t="shared" ref="N78:N85" si="10">ROUND(J78*(L78/100),1)</f>
        <v>4.3</v>
      </c>
      <c r="O78" s="54" t="s">
        <v>986</v>
      </c>
      <c r="P78" s="30" t="s">
        <v>1274</v>
      </c>
    </row>
    <row r="79" spans="1:16" ht="15">
      <c r="A79" s="19" t="s">
        <v>1161</v>
      </c>
      <c r="B79" s="29" t="s">
        <v>1366</v>
      </c>
      <c r="C79" s="29" t="s">
        <v>1367</v>
      </c>
      <c r="D79" s="19" t="s">
        <v>1368</v>
      </c>
      <c r="E79" s="19">
        <v>2002</v>
      </c>
      <c r="F79" s="19">
        <v>10</v>
      </c>
      <c r="G79" s="19" t="s">
        <v>1272</v>
      </c>
      <c r="H79" s="27" t="s">
        <v>1047</v>
      </c>
      <c r="I79" s="48" t="s">
        <v>1276</v>
      </c>
      <c r="J79" s="53">
        <v>7</v>
      </c>
      <c r="K79" s="53">
        <v>5.0999999999999996</v>
      </c>
      <c r="L79" s="53">
        <v>60</v>
      </c>
      <c r="M79" s="53" t="s">
        <v>986</v>
      </c>
      <c r="N79" s="53">
        <f t="shared" si="10"/>
        <v>4.2</v>
      </c>
      <c r="O79" s="54" t="s">
        <v>986</v>
      </c>
      <c r="P79" s="30" t="s">
        <v>1274</v>
      </c>
    </row>
    <row r="80" spans="1:16" ht="15">
      <c r="A80" s="19" t="s">
        <v>1161</v>
      </c>
      <c r="B80" s="29" t="s">
        <v>1366</v>
      </c>
      <c r="C80" s="29" t="s">
        <v>1367</v>
      </c>
      <c r="D80" s="19" t="s">
        <v>1368</v>
      </c>
      <c r="E80" s="19">
        <v>2002</v>
      </c>
      <c r="F80" s="19">
        <v>10</v>
      </c>
      <c r="G80" s="19" t="s">
        <v>1272</v>
      </c>
      <c r="H80" s="27" t="s">
        <v>1047</v>
      </c>
      <c r="I80" s="48" t="s">
        <v>1277</v>
      </c>
      <c r="J80" s="53">
        <v>24.8</v>
      </c>
      <c r="K80" s="53">
        <v>39.200000000000003</v>
      </c>
      <c r="L80" s="53">
        <v>6</v>
      </c>
      <c r="M80" s="53" t="s">
        <v>986</v>
      </c>
      <c r="N80" s="53">
        <f t="shared" si="10"/>
        <v>1.5</v>
      </c>
      <c r="O80" s="54" t="s">
        <v>986</v>
      </c>
      <c r="P80" s="30" t="s">
        <v>1274</v>
      </c>
    </row>
    <row r="81" spans="1:16" ht="15">
      <c r="A81" s="19" t="s">
        <v>1161</v>
      </c>
      <c r="B81" s="29" t="s">
        <v>1366</v>
      </c>
      <c r="C81" s="29" t="s">
        <v>1367</v>
      </c>
      <c r="D81" s="19" t="s">
        <v>1368</v>
      </c>
      <c r="E81" s="19">
        <v>2002</v>
      </c>
      <c r="F81" s="19">
        <v>10</v>
      </c>
      <c r="G81" s="19" t="s">
        <v>1272</v>
      </c>
      <c r="H81" s="27" t="s">
        <v>1047</v>
      </c>
      <c r="I81" s="48" t="s">
        <v>1278</v>
      </c>
      <c r="J81" s="53">
        <v>21.3</v>
      </c>
      <c r="K81" s="53">
        <v>44.5</v>
      </c>
      <c r="L81" s="53">
        <v>100</v>
      </c>
      <c r="M81" s="53" t="s">
        <v>986</v>
      </c>
      <c r="N81" s="53">
        <f t="shared" si="10"/>
        <v>21.3</v>
      </c>
      <c r="O81" s="54" t="s">
        <v>986</v>
      </c>
      <c r="P81" s="30" t="s">
        <v>1274</v>
      </c>
    </row>
    <row r="82" spans="1:16" ht="15">
      <c r="A82" s="19" t="s">
        <v>1161</v>
      </c>
      <c r="B82" s="29" t="s">
        <v>1366</v>
      </c>
      <c r="C82" s="29" t="s">
        <v>1367</v>
      </c>
      <c r="D82" s="19" t="s">
        <v>1368</v>
      </c>
      <c r="E82" s="19">
        <v>2002</v>
      </c>
      <c r="F82" s="19">
        <v>10</v>
      </c>
      <c r="G82" s="19" t="s">
        <v>1272</v>
      </c>
      <c r="H82" s="27" t="s">
        <v>1047</v>
      </c>
      <c r="I82" s="48" t="s">
        <v>546</v>
      </c>
      <c r="J82" s="53">
        <v>48.8</v>
      </c>
      <c r="K82" s="53">
        <v>27.9</v>
      </c>
      <c r="L82" s="53">
        <v>92</v>
      </c>
      <c r="M82" s="53" t="s">
        <v>986</v>
      </c>
      <c r="N82" s="53">
        <f t="shared" si="10"/>
        <v>44.9</v>
      </c>
      <c r="O82" s="54" t="s">
        <v>986</v>
      </c>
      <c r="P82" s="30" t="s">
        <v>1274</v>
      </c>
    </row>
    <row r="83" spans="1:16" ht="15">
      <c r="A83" s="19" t="s">
        <v>1161</v>
      </c>
      <c r="B83" s="29" t="s">
        <v>1366</v>
      </c>
      <c r="C83" s="29" t="s">
        <v>1367</v>
      </c>
      <c r="D83" s="19" t="s">
        <v>1368</v>
      </c>
      <c r="E83" s="19">
        <v>2002</v>
      </c>
      <c r="F83" s="19">
        <v>10</v>
      </c>
      <c r="G83" s="19" t="s">
        <v>1272</v>
      </c>
      <c r="H83" s="27" t="s">
        <v>1047</v>
      </c>
      <c r="I83" s="48" t="s">
        <v>544</v>
      </c>
      <c r="J83" s="53">
        <v>31.6</v>
      </c>
      <c r="K83" s="53">
        <v>14.8</v>
      </c>
      <c r="L83" s="53">
        <v>88</v>
      </c>
      <c r="M83" s="53" t="s">
        <v>986</v>
      </c>
      <c r="N83" s="53">
        <f t="shared" si="10"/>
        <v>27.8</v>
      </c>
      <c r="O83" s="54" t="s">
        <v>986</v>
      </c>
      <c r="P83" s="30" t="s">
        <v>1274</v>
      </c>
    </row>
    <row r="84" spans="1:16" ht="15">
      <c r="A84" s="19" t="s">
        <v>1161</v>
      </c>
      <c r="B84" s="29" t="s">
        <v>1366</v>
      </c>
      <c r="C84" s="29" t="s">
        <v>1367</v>
      </c>
      <c r="D84" s="19" t="s">
        <v>1368</v>
      </c>
      <c r="E84" s="19">
        <v>2002</v>
      </c>
      <c r="F84" s="19">
        <v>10</v>
      </c>
      <c r="G84" s="19" t="s">
        <v>1272</v>
      </c>
      <c r="H84" s="27" t="s">
        <v>1047</v>
      </c>
      <c r="I84" s="48" t="s">
        <v>1172</v>
      </c>
      <c r="J84" s="53">
        <v>60.7</v>
      </c>
      <c r="K84" s="53">
        <v>51</v>
      </c>
      <c r="L84" s="53">
        <v>34</v>
      </c>
      <c r="M84" s="53" t="s">
        <v>986</v>
      </c>
      <c r="N84" s="53">
        <f t="shared" si="10"/>
        <v>20.6</v>
      </c>
      <c r="O84" s="54" t="s">
        <v>986</v>
      </c>
      <c r="P84" s="30" t="s">
        <v>1274</v>
      </c>
    </row>
    <row r="85" spans="1:16" ht="16" thickBot="1">
      <c r="A85" s="19" t="s">
        <v>1161</v>
      </c>
      <c r="B85" s="29" t="s">
        <v>1366</v>
      </c>
      <c r="C85" s="29" t="s">
        <v>1367</v>
      </c>
      <c r="D85" s="19" t="s">
        <v>1368</v>
      </c>
      <c r="E85" s="19">
        <v>2002</v>
      </c>
      <c r="F85" s="19">
        <v>10</v>
      </c>
      <c r="G85" s="19" t="s">
        <v>1272</v>
      </c>
      <c r="H85" s="27" t="s">
        <v>1047</v>
      </c>
      <c r="I85" s="49" t="s">
        <v>1087</v>
      </c>
      <c r="J85" s="55">
        <v>141</v>
      </c>
      <c r="K85" s="55">
        <v>49.3</v>
      </c>
      <c r="L85" s="55">
        <v>79</v>
      </c>
      <c r="M85" s="55" t="s">
        <v>986</v>
      </c>
      <c r="N85" s="55">
        <f t="shared" si="10"/>
        <v>111.4</v>
      </c>
      <c r="O85" s="56" t="s">
        <v>986</v>
      </c>
      <c r="P85" s="30" t="s">
        <v>1274</v>
      </c>
    </row>
    <row r="86" spans="1:16" s="1" customFormat="1">
      <c r="A86" s="3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" customFormat="1">
      <c r="A87" s="293"/>
      <c r="B87" s="297"/>
      <c r="C87" s="297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</row>
    <row r="88" spans="1:16" s="1" customFormat="1">
      <c r="A88" s="3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19" t="s">
        <v>826</v>
      </c>
      <c r="B89" s="29" t="s">
        <v>1366</v>
      </c>
      <c r="C89" s="29" t="s">
        <v>827</v>
      </c>
      <c r="D89" s="19" t="s">
        <v>828</v>
      </c>
      <c r="E89" s="19">
        <v>2001</v>
      </c>
      <c r="F89" s="19">
        <v>11</v>
      </c>
      <c r="G89" s="19" t="s">
        <v>1046</v>
      </c>
      <c r="H89" s="19" t="s">
        <v>1047</v>
      </c>
      <c r="I89" s="19" t="s">
        <v>829</v>
      </c>
      <c r="J89" s="22">
        <v>2</v>
      </c>
      <c r="K89" s="22">
        <v>0.2</v>
      </c>
      <c r="L89" s="22">
        <f>(N89/J89)*100</f>
        <v>65</v>
      </c>
      <c r="M89" s="22" t="s">
        <v>986</v>
      </c>
      <c r="N89" s="22">
        <f>2-0.7</f>
        <v>1.3</v>
      </c>
      <c r="O89" s="22" t="s">
        <v>1046</v>
      </c>
      <c r="P89" s="19" t="s">
        <v>830</v>
      </c>
    </row>
    <row r="90" spans="1:16">
      <c r="A90" s="19" t="s">
        <v>826</v>
      </c>
      <c r="B90" s="29" t="s">
        <v>1366</v>
      </c>
      <c r="C90" s="29" t="s">
        <v>827</v>
      </c>
      <c r="D90" s="19" t="s">
        <v>828</v>
      </c>
      <c r="E90" s="19">
        <v>2001</v>
      </c>
      <c r="F90" s="19">
        <v>11</v>
      </c>
      <c r="G90" s="19" t="s">
        <v>1046</v>
      </c>
      <c r="H90" s="19" t="s">
        <v>1047</v>
      </c>
      <c r="I90" s="19" t="s">
        <v>831</v>
      </c>
      <c r="J90" s="22">
        <v>6.3</v>
      </c>
      <c r="K90" s="22">
        <v>0.7</v>
      </c>
      <c r="L90" s="22">
        <f>(N90/J90)*100</f>
        <v>68.253968253968253</v>
      </c>
      <c r="M90" s="22" t="s">
        <v>986</v>
      </c>
      <c r="N90" s="22">
        <f>6.3-2</f>
        <v>4.3</v>
      </c>
      <c r="O90" s="22" t="s">
        <v>986</v>
      </c>
      <c r="P90" s="19" t="s">
        <v>830</v>
      </c>
    </row>
    <row r="91" spans="1:16">
      <c r="A91" s="19" t="s">
        <v>826</v>
      </c>
      <c r="B91" s="29" t="s">
        <v>1366</v>
      </c>
      <c r="C91" s="29" t="s">
        <v>827</v>
      </c>
      <c r="D91" s="19" t="s">
        <v>828</v>
      </c>
      <c r="E91" s="19">
        <v>2001</v>
      </c>
      <c r="F91" s="19">
        <v>11</v>
      </c>
      <c r="G91" s="19" t="s">
        <v>1046</v>
      </c>
      <c r="H91" s="19" t="s">
        <v>1047</v>
      </c>
      <c r="I91" s="19" t="s">
        <v>1393</v>
      </c>
      <c r="J91" s="22">
        <v>5.8</v>
      </c>
      <c r="K91" s="22">
        <v>1.6</v>
      </c>
      <c r="L91" s="22" t="s">
        <v>986</v>
      </c>
      <c r="M91" s="22" t="s">
        <v>986</v>
      </c>
      <c r="N91" s="22" t="s">
        <v>986</v>
      </c>
      <c r="O91" s="22" t="s">
        <v>986</v>
      </c>
      <c r="P91" s="19" t="s">
        <v>830</v>
      </c>
    </row>
    <row r="92" spans="1:16">
      <c r="A92" s="19" t="s">
        <v>826</v>
      </c>
      <c r="B92" s="29" t="s">
        <v>1366</v>
      </c>
      <c r="C92" s="29" t="s">
        <v>827</v>
      </c>
      <c r="D92" s="19" t="s">
        <v>828</v>
      </c>
      <c r="E92" s="19">
        <v>2001</v>
      </c>
      <c r="F92" s="19">
        <v>11</v>
      </c>
      <c r="G92" s="19" t="s">
        <v>1046</v>
      </c>
      <c r="H92" s="19" t="s">
        <v>1047</v>
      </c>
      <c r="I92" s="19" t="s">
        <v>1074</v>
      </c>
      <c r="J92" s="22">
        <v>6</v>
      </c>
      <c r="K92" s="22">
        <v>3.3</v>
      </c>
      <c r="L92" s="22">
        <f>(N92/J92)*100</f>
        <v>23.333333333333332</v>
      </c>
      <c r="M92" s="22" t="s">
        <v>986</v>
      </c>
      <c r="N92" s="22">
        <v>1.4</v>
      </c>
      <c r="O92" s="22" t="s">
        <v>986</v>
      </c>
      <c r="P92" s="19" t="s">
        <v>830</v>
      </c>
    </row>
    <row r="93" spans="1:16">
      <c r="A93" s="19" t="s">
        <v>2120</v>
      </c>
      <c r="B93" s="29" t="s">
        <v>1366</v>
      </c>
      <c r="C93" s="29" t="s">
        <v>827</v>
      </c>
      <c r="D93" s="19" t="s">
        <v>828</v>
      </c>
      <c r="E93" s="19">
        <v>2001</v>
      </c>
      <c r="F93" s="19">
        <v>11</v>
      </c>
      <c r="G93" s="19" t="s">
        <v>1046</v>
      </c>
      <c r="H93" s="19" t="s">
        <v>1047</v>
      </c>
      <c r="I93" s="19" t="s">
        <v>1075</v>
      </c>
      <c r="J93" s="22">
        <v>15.8</v>
      </c>
      <c r="K93" s="22">
        <v>4.3</v>
      </c>
      <c r="L93" s="22">
        <f>(N93/J93)*100</f>
        <v>80.379746835443029</v>
      </c>
      <c r="M93" s="22" t="s">
        <v>986</v>
      </c>
      <c r="N93" s="22">
        <v>12.7</v>
      </c>
      <c r="O93" s="22" t="s">
        <v>986</v>
      </c>
      <c r="P93" s="19" t="s">
        <v>830</v>
      </c>
    </row>
    <row r="94" spans="1:16">
      <c r="A94" s="19" t="s">
        <v>826</v>
      </c>
      <c r="B94" s="29" t="s">
        <v>1366</v>
      </c>
      <c r="C94" s="29" t="s">
        <v>827</v>
      </c>
      <c r="D94" s="19" t="s">
        <v>828</v>
      </c>
      <c r="E94" s="19">
        <v>2001</v>
      </c>
      <c r="F94" s="19">
        <v>11</v>
      </c>
      <c r="G94" s="19" t="s">
        <v>1046</v>
      </c>
      <c r="H94" s="19" t="s">
        <v>1047</v>
      </c>
      <c r="I94" s="19" t="s">
        <v>1287</v>
      </c>
      <c r="J94" s="22">
        <v>17.8</v>
      </c>
      <c r="K94" s="22">
        <v>3.6</v>
      </c>
      <c r="L94" s="22" t="s">
        <v>986</v>
      </c>
      <c r="M94" s="22" t="s">
        <v>986</v>
      </c>
      <c r="N94" s="22" t="s">
        <v>986</v>
      </c>
      <c r="O94" s="22" t="s">
        <v>986</v>
      </c>
      <c r="P94" s="19" t="s">
        <v>830</v>
      </c>
    </row>
    <row r="95" spans="1:16">
      <c r="A95" s="19" t="s">
        <v>826</v>
      </c>
      <c r="B95" s="29" t="s">
        <v>1366</v>
      </c>
      <c r="C95" s="29" t="s">
        <v>827</v>
      </c>
      <c r="D95" s="19" t="s">
        <v>828</v>
      </c>
      <c r="E95" s="19">
        <v>2001</v>
      </c>
      <c r="F95" s="19">
        <v>11</v>
      </c>
      <c r="G95" s="19" t="s">
        <v>1046</v>
      </c>
      <c r="H95" s="19" t="s">
        <v>1047</v>
      </c>
      <c r="I95" s="19" t="s">
        <v>1148</v>
      </c>
      <c r="J95" s="22">
        <v>101</v>
      </c>
      <c r="K95" s="22">
        <v>11.9</v>
      </c>
      <c r="L95" s="22">
        <f>(N95/J95)*100</f>
        <v>61.980198019801982</v>
      </c>
      <c r="M95" s="22" t="s">
        <v>986</v>
      </c>
      <c r="N95" s="22">
        <f>101-38.4</f>
        <v>62.6</v>
      </c>
      <c r="O95" s="22" t="s">
        <v>986</v>
      </c>
      <c r="P95" s="19" t="s">
        <v>830</v>
      </c>
    </row>
    <row r="96" spans="1:16">
      <c r="A96" s="19" t="s">
        <v>826</v>
      </c>
      <c r="B96" s="29" t="s">
        <v>1366</v>
      </c>
      <c r="C96" s="29" t="s">
        <v>827</v>
      </c>
      <c r="D96" s="19" t="s">
        <v>828</v>
      </c>
      <c r="E96" s="19">
        <v>2001</v>
      </c>
      <c r="F96" s="19">
        <v>11</v>
      </c>
      <c r="G96" s="19" t="s">
        <v>1046</v>
      </c>
      <c r="H96" s="19" t="s">
        <v>1047</v>
      </c>
      <c r="I96" s="19" t="s">
        <v>485</v>
      </c>
      <c r="J96" s="22">
        <v>154.4</v>
      </c>
      <c r="K96" s="22" t="s">
        <v>986</v>
      </c>
      <c r="L96" s="22">
        <f>(N96/J96)*100</f>
        <v>51.360103626943001</v>
      </c>
      <c r="M96" s="22" t="s">
        <v>986</v>
      </c>
      <c r="N96" s="22">
        <f>154.5-75.2</f>
        <v>79.3</v>
      </c>
      <c r="O96" s="22" t="s">
        <v>986</v>
      </c>
      <c r="P96" s="19" t="s">
        <v>830</v>
      </c>
    </row>
    <row r="97" spans="1:16">
      <c r="A97" s="19" t="s">
        <v>826</v>
      </c>
      <c r="B97" s="29" t="s">
        <v>1366</v>
      </c>
      <c r="C97" s="29" t="s">
        <v>827</v>
      </c>
      <c r="D97" s="19" t="s">
        <v>828</v>
      </c>
      <c r="E97" s="19">
        <v>2002</v>
      </c>
      <c r="F97" s="19">
        <v>10</v>
      </c>
      <c r="G97" s="19" t="s">
        <v>1046</v>
      </c>
      <c r="H97" s="19" t="s">
        <v>1047</v>
      </c>
      <c r="I97" s="19" t="s">
        <v>829</v>
      </c>
      <c r="J97" s="22">
        <v>2</v>
      </c>
      <c r="K97" s="22">
        <v>0.2</v>
      </c>
      <c r="L97" s="22">
        <f>(N97/J97)*100</f>
        <v>85</v>
      </c>
      <c r="M97" s="22" t="s">
        <v>986</v>
      </c>
      <c r="N97" s="22">
        <f>1.7</f>
        <v>1.7</v>
      </c>
      <c r="O97" s="22" t="s">
        <v>986</v>
      </c>
      <c r="P97" s="19" t="s">
        <v>1149</v>
      </c>
    </row>
    <row r="98" spans="1:16">
      <c r="A98" s="19" t="s">
        <v>826</v>
      </c>
      <c r="B98" s="29" t="s">
        <v>1366</v>
      </c>
      <c r="C98" s="29" t="s">
        <v>827</v>
      </c>
      <c r="D98" s="19" t="s">
        <v>828</v>
      </c>
      <c r="E98" s="19">
        <v>2002</v>
      </c>
      <c r="F98" s="19">
        <v>10</v>
      </c>
      <c r="G98" s="19" t="s">
        <v>1046</v>
      </c>
      <c r="H98" s="19" t="s">
        <v>1047</v>
      </c>
      <c r="I98" s="19" t="s">
        <v>831</v>
      </c>
      <c r="J98" s="22">
        <v>6.3</v>
      </c>
      <c r="K98" s="22">
        <v>0.7</v>
      </c>
      <c r="L98" s="22">
        <f>(N98/J98)*100</f>
        <v>93.650793650793659</v>
      </c>
      <c r="M98" s="22" t="s">
        <v>986</v>
      </c>
      <c r="N98" s="22">
        <f>5.9</f>
        <v>5.9</v>
      </c>
      <c r="O98" s="22" t="s">
        <v>986</v>
      </c>
      <c r="P98" s="19" t="s">
        <v>1149</v>
      </c>
    </row>
    <row r="99" spans="1:16">
      <c r="A99" s="19" t="s">
        <v>826</v>
      </c>
      <c r="B99" s="29" t="s">
        <v>1366</v>
      </c>
      <c r="C99" s="29" t="s">
        <v>827</v>
      </c>
      <c r="D99" s="19" t="s">
        <v>828</v>
      </c>
      <c r="E99" s="19">
        <v>2002</v>
      </c>
      <c r="F99" s="19">
        <v>10</v>
      </c>
      <c r="G99" s="19" t="s">
        <v>1046</v>
      </c>
      <c r="H99" s="19" t="s">
        <v>1047</v>
      </c>
      <c r="I99" s="19" t="s">
        <v>1393</v>
      </c>
      <c r="J99" s="22">
        <v>5.8</v>
      </c>
      <c r="K99" s="22">
        <v>1.6</v>
      </c>
      <c r="L99" s="22">
        <f>(N99/J99)*100</f>
        <v>70.689655172413794</v>
      </c>
      <c r="M99" s="22" t="s">
        <v>986</v>
      </c>
      <c r="N99" s="22">
        <f>5.8-1.7</f>
        <v>4.0999999999999996</v>
      </c>
      <c r="O99" s="22" t="s">
        <v>986</v>
      </c>
      <c r="P99" s="19" t="s">
        <v>1149</v>
      </c>
    </row>
    <row r="100" spans="1:16">
      <c r="A100" s="19" t="s">
        <v>826</v>
      </c>
      <c r="B100" s="29" t="s">
        <v>1366</v>
      </c>
      <c r="C100" s="29" t="s">
        <v>827</v>
      </c>
      <c r="D100" s="19" t="s">
        <v>828</v>
      </c>
      <c r="E100" s="19">
        <v>2002</v>
      </c>
      <c r="F100" s="19">
        <v>10</v>
      </c>
      <c r="G100" s="19" t="s">
        <v>1046</v>
      </c>
      <c r="H100" s="19" t="s">
        <v>1047</v>
      </c>
      <c r="I100" s="19" t="s">
        <v>1074</v>
      </c>
      <c r="J100" s="22">
        <v>6</v>
      </c>
      <c r="K100" s="22">
        <v>3.3</v>
      </c>
      <c r="L100" s="22" t="s">
        <v>986</v>
      </c>
      <c r="M100" s="22" t="s">
        <v>986</v>
      </c>
      <c r="N100" s="22" t="s">
        <v>986</v>
      </c>
      <c r="O100" s="22" t="s">
        <v>986</v>
      </c>
      <c r="P100" s="19" t="s">
        <v>1149</v>
      </c>
    </row>
    <row r="101" spans="1:16">
      <c r="A101" s="19" t="s">
        <v>826</v>
      </c>
      <c r="B101" s="29" t="s">
        <v>1366</v>
      </c>
      <c r="C101" s="29" t="s">
        <v>827</v>
      </c>
      <c r="D101" s="19" t="s">
        <v>828</v>
      </c>
      <c r="E101" s="19">
        <v>2002</v>
      </c>
      <c r="F101" s="19">
        <v>10</v>
      </c>
      <c r="G101" s="19" t="s">
        <v>1046</v>
      </c>
      <c r="H101" s="19" t="s">
        <v>1047</v>
      </c>
      <c r="I101" s="19" t="s">
        <v>1075</v>
      </c>
      <c r="J101" s="22">
        <v>15.8</v>
      </c>
      <c r="K101" s="22">
        <v>4.3</v>
      </c>
      <c r="L101" s="22">
        <f>(N101/J101)*100</f>
        <v>100</v>
      </c>
      <c r="M101" s="22" t="s">
        <v>986</v>
      </c>
      <c r="N101" s="22">
        <f>15.8</f>
        <v>15.8</v>
      </c>
      <c r="O101" s="22" t="s">
        <v>986</v>
      </c>
      <c r="P101" s="19" t="s">
        <v>1149</v>
      </c>
    </row>
    <row r="102" spans="1:16">
      <c r="A102" s="19" t="s">
        <v>826</v>
      </c>
      <c r="B102" s="29" t="s">
        <v>1366</v>
      </c>
      <c r="C102" s="29" t="s">
        <v>827</v>
      </c>
      <c r="D102" s="19" t="s">
        <v>828</v>
      </c>
      <c r="E102" s="19">
        <v>2002</v>
      </c>
      <c r="F102" s="19">
        <v>10</v>
      </c>
      <c r="G102" s="19" t="s">
        <v>1046</v>
      </c>
      <c r="H102" s="19" t="s">
        <v>1047</v>
      </c>
      <c r="I102" s="19" t="s">
        <v>1287</v>
      </c>
      <c r="J102" s="22">
        <v>17.8</v>
      </c>
      <c r="K102" s="22">
        <v>3.6</v>
      </c>
      <c r="L102" s="22">
        <f>(N102/J102)*100</f>
        <v>70.786516853932582</v>
      </c>
      <c r="M102" s="22" t="s">
        <v>986</v>
      </c>
      <c r="N102" s="22">
        <f>12.6</f>
        <v>12.6</v>
      </c>
      <c r="O102" s="22" t="s">
        <v>986</v>
      </c>
      <c r="P102" s="19" t="s">
        <v>1149</v>
      </c>
    </row>
    <row r="103" spans="1:16">
      <c r="A103" s="19" t="s">
        <v>826</v>
      </c>
      <c r="B103" s="29" t="s">
        <v>1366</v>
      </c>
      <c r="C103" s="29" t="s">
        <v>827</v>
      </c>
      <c r="D103" s="19" t="s">
        <v>828</v>
      </c>
      <c r="E103" s="19">
        <v>2002</v>
      </c>
      <c r="F103" s="19">
        <v>10</v>
      </c>
      <c r="G103" s="19" t="s">
        <v>1046</v>
      </c>
      <c r="H103" s="19" t="s">
        <v>1047</v>
      </c>
      <c r="I103" s="19" t="s">
        <v>1148</v>
      </c>
      <c r="J103" s="22">
        <v>101</v>
      </c>
      <c r="K103" s="22">
        <v>11.9</v>
      </c>
      <c r="L103" s="22">
        <f>(N103/J103)*100</f>
        <v>95.940594059405953</v>
      </c>
      <c r="M103" s="22" t="s">
        <v>986</v>
      </c>
      <c r="N103" s="22">
        <f>101-4.1</f>
        <v>96.9</v>
      </c>
      <c r="O103" s="22" t="s">
        <v>986</v>
      </c>
      <c r="P103" s="19" t="s">
        <v>1149</v>
      </c>
    </row>
    <row r="104" spans="1:16" ht="14" thickBot="1">
      <c r="A104" s="19" t="s">
        <v>826</v>
      </c>
      <c r="B104" s="29" t="s">
        <v>1366</v>
      </c>
      <c r="C104" s="29" t="s">
        <v>827</v>
      </c>
      <c r="D104" s="19" t="s">
        <v>828</v>
      </c>
      <c r="E104" s="19">
        <v>2002</v>
      </c>
      <c r="F104" s="19">
        <v>10</v>
      </c>
      <c r="G104" s="19" t="s">
        <v>1046</v>
      </c>
      <c r="H104" s="19" t="s">
        <v>1047</v>
      </c>
      <c r="I104" s="38" t="s">
        <v>485</v>
      </c>
      <c r="J104" s="45">
        <v>154.4</v>
      </c>
      <c r="K104" s="45" t="s">
        <v>986</v>
      </c>
      <c r="L104" s="45">
        <f>(N104/J104)*100</f>
        <v>87.953367875647672</v>
      </c>
      <c r="M104" s="45" t="s">
        <v>986</v>
      </c>
      <c r="N104" s="45">
        <f>154.5-18.7</f>
        <v>135.80000000000001</v>
      </c>
      <c r="O104" s="45" t="s">
        <v>986</v>
      </c>
      <c r="P104" s="19" t="s">
        <v>1149</v>
      </c>
    </row>
    <row r="105" spans="1:16" s="58" customFormat="1" ht="15">
      <c r="A105" s="3"/>
      <c r="B105" s="5"/>
      <c r="C105" s="5"/>
      <c r="D105" s="3"/>
      <c r="E105" s="3"/>
      <c r="F105" s="3"/>
      <c r="G105" s="3"/>
      <c r="H105" s="3"/>
      <c r="I105" s="47" t="s">
        <v>829</v>
      </c>
      <c r="J105" s="51">
        <f t="shared" ref="J105:J112" si="11">ROUND(AVERAGE(J89,J97),1)</f>
        <v>2</v>
      </c>
      <c r="K105" s="51" t="s">
        <v>986</v>
      </c>
      <c r="L105" s="51">
        <f t="shared" ref="L105:L112" si="12">ROUND(AVERAGE(L89,L97),1)</f>
        <v>75</v>
      </c>
      <c r="M105" s="51" t="s">
        <v>986</v>
      </c>
      <c r="N105" s="51">
        <f t="shared" ref="N105:N112" si="13">ROUND(AVERAGE(N89,N97),1)</f>
        <v>1.5</v>
      </c>
      <c r="O105" s="52" t="s">
        <v>986</v>
      </c>
      <c r="P105" s="59"/>
    </row>
    <row r="106" spans="1:16" s="58" customFormat="1" ht="15">
      <c r="A106" s="3"/>
      <c r="B106" s="5"/>
      <c r="C106" s="5"/>
      <c r="D106" s="3"/>
      <c r="E106" s="3"/>
      <c r="F106" s="3"/>
      <c r="G106" s="3"/>
      <c r="H106" s="3"/>
      <c r="I106" s="48" t="s">
        <v>831</v>
      </c>
      <c r="J106" s="53">
        <f t="shared" si="11"/>
        <v>6.3</v>
      </c>
      <c r="K106" s="53" t="s">
        <v>986</v>
      </c>
      <c r="L106" s="53">
        <f t="shared" si="12"/>
        <v>81</v>
      </c>
      <c r="M106" s="53" t="s">
        <v>986</v>
      </c>
      <c r="N106" s="53">
        <f t="shared" si="13"/>
        <v>5.0999999999999996</v>
      </c>
      <c r="O106" s="54" t="s">
        <v>986</v>
      </c>
      <c r="P106" s="59"/>
    </row>
    <row r="107" spans="1:16" s="58" customFormat="1" ht="15">
      <c r="A107" s="3"/>
      <c r="B107" s="5"/>
      <c r="C107" s="5"/>
      <c r="D107" s="3"/>
      <c r="E107" s="3"/>
      <c r="F107" s="3"/>
      <c r="G107" s="3"/>
      <c r="H107" s="3"/>
      <c r="I107" s="48" t="s">
        <v>1393</v>
      </c>
      <c r="J107" s="53">
        <f t="shared" si="11"/>
        <v>5.8</v>
      </c>
      <c r="K107" s="53" t="s">
        <v>986</v>
      </c>
      <c r="L107" s="53">
        <f t="shared" si="12"/>
        <v>70.7</v>
      </c>
      <c r="M107" s="53" t="s">
        <v>986</v>
      </c>
      <c r="N107" s="53">
        <f t="shared" si="13"/>
        <v>4.0999999999999996</v>
      </c>
      <c r="O107" s="54" t="s">
        <v>986</v>
      </c>
      <c r="P107" s="59"/>
    </row>
    <row r="108" spans="1:16" s="58" customFormat="1" ht="15">
      <c r="A108" s="3"/>
      <c r="B108" s="5"/>
      <c r="C108" s="5"/>
      <c r="D108" s="3"/>
      <c r="E108" s="3"/>
      <c r="F108" s="3"/>
      <c r="G108" s="3"/>
      <c r="H108" s="3"/>
      <c r="I108" s="48" t="s">
        <v>1074</v>
      </c>
      <c r="J108" s="53">
        <f t="shared" si="11"/>
        <v>6</v>
      </c>
      <c r="K108" s="53" t="s">
        <v>986</v>
      </c>
      <c r="L108" s="53">
        <f t="shared" si="12"/>
        <v>23.3</v>
      </c>
      <c r="M108" s="53" t="s">
        <v>986</v>
      </c>
      <c r="N108" s="53">
        <f t="shared" si="13"/>
        <v>1.4</v>
      </c>
      <c r="O108" s="54" t="s">
        <v>986</v>
      </c>
      <c r="P108" s="59"/>
    </row>
    <row r="109" spans="1:16" s="58" customFormat="1" ht="15">
      <c r="A109" s="3"/>
      <c r="B109" s="5"/>
      <c r="C109" s="5"/>
      <c r="D109" s="3"/>
      <c r="E109" s="3"/>
      <c r="F109" s="3"/>
      <c r="G109" s="3"/>
      <c r="H109" s="3"/>
      <c r="I109" s="48" t="s">
        <v>1075</v>
      </c>
      <c r="J109" s="53">
        <f t="shared" si="11"/>
        <v>15.8</v>
      </c>
      <c r="K109" s="53" t="s">
        <v>986</v>
      </c>
      <c r="L109" s="53">
        <f t="shared" si="12"/>
        <v>90.2</v>
      </c>
      <c r="M109" s="53" t="s">
        <v>986</v>
      </c>
      <c r="N109" s="53">
        <f t="shared" si="13"/>
        <v>14.3</v>
      </c>
      <c r="O109" s="54" t="s">
        <v>986</v>
      </c>
      <c r="P109" s="59"/>
    </row>
    <row r="110" spans="1:16" s="58" customFormat="1" ht="15">
      <c r="A110" s="3"/>
      <c r="B110" s="5"/>
      <c r="C110" s="5"/>
      <c r="D110" s="3"/>
      <c r="E110" s="3"/>
      <c r="F110" s="3"/>
      <c r="G110" s="3"/>
      <c r="H110" s="3"/>
      <c r="I110" s="48" t="s">
        <v>1287</v>
      </c>
      <c r="J110" s="53">
        <f t="shared" si="11"/>
        <v>17.8</v>
      </c>
      <c r="K110" s="53" t="s">
        <v>986</v>
      </c>
      <c r="L110" s="53">
        <f t="shared" si="12"/>
        <v>70.8</v>
      </c>
      <c r="M110" s="53" t="s">
        <v>986</v>
      </c>
      <c r="N110" s="53">
        <f t="shared" si="13"/>
        <v>12.6</v>
      </c>
      <c r="O110" s="54" t="s">
        <v>986</v>
      </c>
      <c r="P110" s="59"/>
    </row>
    <row r="111" spans="1:16" s="58" customFormat="1" ht="15">
      <c r="A111" s="3"/>
      <c r="B111" s="5"/>
      <c r="C111" s="5"/>
      <c r="D111" s="3"/>
      <c r="E111" s="3"/>
      <c r="F111" s="3"/>
      <c r="G111" s="3"/>
      <c r="H111" s="3"/>
      <c r="I111" s="48" t="s">
        <v>1148</v>
      </c>
      <c r="J111" s="53">
        <f t="shared" si="11"/>
        <v>101</v>
      </c>
      <c r="K111" s="53" t="s">
        <v>986</v>
      </c>
      <c r="L111" s="53">
        <f t="shared" si="12"/>
        <v>79</v>
      </c>
      <c r="M111" s="53" t="s">
        <v>986</v>
      </c>
      <c r="N111" s="53">
        <f t="shared" si="13"/>
        <v>79.8</v>
      </c>
      <c r="O111" s="54" t="s">
        <v>986</v>
      </c>
      <c r="P111" s="59"/>
    </row>
    <row r="112" spans="1:16" s="58" customFormat="1" ht="16" thickBot="1">
      <c r="A112" s="3"/>
      <c r="B112" s="5"/>
      <c r="C112" s="5"/>
      <c r="D112" s="3"/>
      <c r="E112" s="3"/>
      <c r="F112" s="3"/>
      <c r="G112" s="3"/>
      <c r="H112" s="3"/>
      <c r="I112" s="49" t="s">
        <v>485</v>
      </c>
      <c r="J112" s="55">
        <f t="shared" si="11"/>
        <v>154.4</v>
      </c>
      <c r="K112" s="55" t="s">
        <v>986</v>
      </c>
      <c r="L112" s="55">
        <f t="shared" si="12"/>
        <v>69.7</v>
      </c>
      <c r="M112" s="55" t="s">
        <v>986</v>
      </c>
      <c r="N112" s="55">
        <f t="shared" si="13"/>
        <v>107.6</v>
      </c>
      <c r="O112" s="56" t="s">
        <v>986</v>
      </c>
      <c r="P112" s="59"/>
    </row>
    <row r="113" spans="1:16" s="1" customFormat="1">
      <c r="A113" s="3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96" customFormat="1">
      <c r="A114" s="293"/>
      <c r="B114" s="297"/>
      <c r="C114" s="297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</row>
    <row r="115" spans="1:16" s="58" customFormat="1">
      <c r="A115" s="3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19" t="s">
        <v>1233</v>
      </c>
      <c r="B116" s="29" t="s">
        <v>1234</v>
      </c>
      <c r="C116" s="29" t="s">
        <v>1235</v>
      </c>
      <c r="D116" s="19" t="s">
        <v>1036</v>
      </c>
      <c r="E116" s="19">
        <v>1998</v>
      </c>
      <c r="F116" s="19" t="s">
        <v>1046</v>
      </c>
      <c r="G116" s="19" t="s">
        <v>1046</v>
      </c>
      <c r="H116" s="19" t="s">
        <v>1047</v>
      </c>
      <c r="I116" s="19" t="s">
        <v>0</v>
      </c>
      <c r="J116" s="22">
        <v>22</v>
      </c>
      <c r="K116" s="22" t="s">
        <v>1046</v>
      </c>
      <c r="L116" s="22">
        <v>66</v>
      </c>
      <c r="M116" s="22" t="s">
        <v>1046</v>
      </c>
      <c r="N116" s="22">
        <v>15</v>
      </c>
      <c r="O116" s="22" t="s">
        <v>1046</v>
      </c>
      <c r="P116" s="19" t="s">
        <v>1028</v>
      </c>
    </row>
    <row r="117" spans="1:16">
      <c r="A117" s="19" t="s">
        <v>1233</v>
      </c>
      <c r="B117" s="29" t="s">
        <v>1234</v>
      </c>
      <c r="C117" s="29" t="s">
        <v>1235</v>
      </c>
      <c r="D117" s="19" t="s">
        <v>1036</v>
      </c>
      <c r="E117" s="19">
        <v>1998</v>
      </c>
      <c r="F117" s="19" t="s">
        <v>1046</v>
      </c>
      <c r="G117" s="19" t="s">
        <v>1046</v>
      </c>
      <c r="H117" s="19" t="s">
        <v>1047</v>
      </c>
      <c r="I117" s="19" t="s">
        <v>0</v>
      </c>
      <c r="J117" s="22">
        <v>29</v>
      </c>
      <c r="K117" s="22" t="s">
        <v>1046</v>
      </c>
      <c r="L117" s="22">
        <v>54</v>
      </c>
      <c r="M117" s="22" t="s">
        <v>1046</v>
      </c>
      <c r="N117" s="22">
        <v>16</v>
      </c>
      <c r="O117" s="22" t="s">
        <v>1046</v>
      </c>
      <c r="P117" s="19" t="s">
        <v>1165</v>
      </c>
    </row>
    <row r="118" spans="1:16">
      <c r="A118" s="19" t="s">
        <v>1233</v>
      </c>
      <c r="B118" s="29" t="s">
        <v>1234</v>
      </c>
      <c r="C118" s="29" t="s">
        <v>1235</v>
      </c>
      <c r="D118" s="19" t="s">
        <v>1036</v>
      </c>
      <c r="E118" s="19">
        <v>1999</v>
      </c>
      <c r="F118" s="19" t="s">
        <v>1046</v>
      </c>
      <c r="G118" s="19" t="s">
        <v>1046</v>
      </c>
      <c r="H118" s="19" t="s">
        <v>1047</v>
      </c>
      <c r="I118" s="19" t="s">
        <v>0</v>
      </c>
      <c r="J118" s="22">
        <v>19</v>
      </c>
      <c r="K118" s="22" t="s">
        <v>1046</v>
      </c>
      <c r="L118" s="22">
        <v>47</v>
      </c>
      <c r="M118" s="22" t="s">
        <v>1046</v>
      </c>
      <c r="N118" s="22">
        <v>9</v>
      </c>
      <c r="O118" s="22" t="s">
        <v>1046</v>
      </c>
      <c r="P118" s="19" t="s">
        <v>1166</v>
      </c>
    </row>
    <row r="119" spans="1:16">
      <c r="A119" s="19" t="s">
        <v>1233</v>
      </c>
      <c r="B119" s="29" t="s">
        <v>1234</v>
      </c>
      <c r="C119" s="29" t="s">
        <v>1235</v>
      </c>
      <c r="D119" s="19" t="s">
        <v>1036</v>
      </c>
      <c r="E119" s="19">
        <v>1999</v>
      </c>
      <c r="F119" s="19" t="s">
        <v>1046</v>
      </c>
      <c r="G119" s="19" t="s">
        <v>1046</v>
      </c>
      <c r="H119" s="19" t="s">
        <v>1047</v>
      </c>
      <c r="I119" s="19" t="s">
        <v>0</v>
      </c>
      <c r="J119" s="22">
        <v>25</v>
      </c>
      <c r="K119" s="22" t="s">
        <v>1046</v>
      </c>
      <c r="L119" s="22">
        <v>73</v>
      </c>
      <c r="M119" s="22" t="s">
        <v>1046</v>
      </c>
      <c r="N119" s="22">
        <v>18</v>
      </c>
      <c r="O119" s="22" t="s">
        <v>1046</v>
      </c>
      <c r="P119" s="19" t="s">
        <v>1037</v>
      </c>
    </row>
    <row r="120" spans="1:16">
      <c r="A120" s="19" t="s">
        <v>1233</v>
      </c>
      <c r="B120" s="29" t="s">
        <v>1234</v>
      </c>
      <c r="C120" s="29" t="s">
        <v>1235</v>
      </c>
      <c r="D120" s="19" t="s">
        <v>1036</v>
      </c>
      <c r="E120" s="19">
        <v>2000</v>
      </c>
      <c r="F120" s="19" t="s">
        <v>1046</v>
      </c>
      <c r="G120" s="19" t="s">
        <v>1046</v>
      </c>
      <c r="H120" s="19" t="s">
        <v>1047</v>
      </c>
      <c r="I120" s="19" t="s">
        <v>0</v>
      </c>
      <c r="J120" s="22">
        <v>14</v>
      </c>
      <c r="K120" s="22" t="s">
        <v>1046</v>
      </c>
      <c r="L120" s="22">
        <v>48</v>
      </c>
      <c r="M120" s="22" t="s">
        <v>1046</v>
      </c>
      <c r="N120" s="22">
        <v>7</v>
      </c>
      <c r="O120" s="22" t="s">
        <v>1046</v>
      </c>
      <c r="P120" s="19" t="s">
        <v>1038</v>
      </c>
    </row>
    <row r="121" spans="1:16">
      <c r="A121" s="19" t="s">
        <v>1233</v>
      </c>
      <c r="B121" s="29" t="s">
        <v>1234</v>
      </c>
      <c r="C121" s="29" t="s">
        <v>1235</v>
      </c>
      <c r="D121" s="19" t="s">
        <v>1036</v>
      </c>
      <c r="E121" s="19">
        <v>2000</v>
      </c>
      <c r="F121" s="19" t="s">
        <v>1046</v>
      </c>
      <c r="G121" s="19" t="s">
        <v>1046</v>
      </c>
      <c r="H121" s="19" t="s">
        <v>1047</v>
      </c>
      <c r="I121" s="19" t="s">
        <v>1</v>
      </c>
      <c r="J121" s="22">
        <v>29</v>
      </c>
      <c r="K121" s="22" t="s">
        <v>1046</v>
      </c>
      <c r="L121" s="22">
        <v>51</v>
      </c>
      <c r="M121" s="22" t="s">
        <v>1046</v>
      </c>
      <c r="N121" s="22">
        <v>15</v>
      </c>
      <c r="O121" s="22" t="s">
        <v>1046</v>
      </c>
      <c r="P121" s="19" t="s">
        <v>1019</v>
      </c>
    </row>
    <row r="122" spans="1:16" ht="14" thickBot="1">
      <c r="A122" s="19" t="s">
        <v>1233</v>
      </c>
      <c r="B122" s="29" t="s">
        <v>1234</v>
      </c>
      <c r="C122" s="29" t="s">
        <v>1235</v>
      </c>
      <c r="D122" s="19" t="s">
        <v>1036</v>
      </c>
      <c r="E122" s="19">
        <v>2000</v>
      </c>
      <c r="F122" s="19" t="s">
        <v>1046</v>
      </c>
      <c r="G122" s="19" t="s">
        <v>1046</v>
      </c>
      <c r="H122" s="19" t="s">
        <v>1047</v>
      </c>
      <c r="I122" s="38" t="s">
        <v>121</v>
      </c>
      <c r="J122" s="45">
        <v>60.6</v>
      </c>
      <c r="K122" s="45" t="s">
        <v>986</v>
      </c>
      <c r="L122" s="45" t="s">
        <v>986</v>
      </c>
      <c r="M122" s="45" t="s">
        <v>986</v>
      </c>
      <c r="N122" s="45" t="s">
        <v>986</v>
      </c>
      <c r="O122" s="45" t="s">
        <v>986</v>
      </c>
      <c r="P122" s="19" t="s">
        <v>1154</v>
      </c>
    </row>
    <row r="123" spans="1:16" ht="14" thickBot="1">
      <c r="A123" s="3"/>
      <c r="B123" s="5"/>
      <c r="C123" s="5"/>
      <c r="D123" s="3"/>
      <c r="E123" s="3"/>
      <c r="F123" s="3"/>
      <c r="G123" s="3"/>
      <c r="H123" s="3"/>
      <c r="I123" s="90" t="s">
        <v>179</v>
      </c>
      <c r="J123" s="67">
        <f>ROUND(AVERAGE(J116:J121),1)</f>
        <v>23</v>
      </c>
      <c r="K123" s="67">
        <f>ROUND(STDEV(J116:J121),1)</f>
        <v>5.9</v>
      </c>
      <c r="L123" s="67">
        <f>ROUND(AVERAGE(L116:L122),1)</f>
        <v>56.5</v>
      </c>
      <c r="M123" s="67">
        <f>ROUND(STDEV(L116:L121),1)</f>
        <v>10.6</v>
      </c>
      <c r="N123" s="67">
        <f>ROUND(AVERAGE(N116:N121),1)</f>
        <v>13.3</v>
      </c>
      <c r="O123" s="68">
        <f>ROUND(STDEV(N116:N121),1)</f>
        <v>4.3</v>
      </c>
      <c r="P123" s="3"/>
    </row>
    <row r="124" spans="1:16" s="58" customFormat="1">
      <c r="A124" s="3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58" customFormat="1">
      <c r="A125" s="293"/>
      <c r="B125" s="297"/>
      <c r="C125" s="297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</row>
    <row r="126" spans="1:16" s="58" customFormat="1">
      <c r="A126" s="3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19" t="s">
        <v>1150</v>
      </c>
      <c r="B127" s="29" t="s">
        <v>1151</v>
      </c>
      <c r="C127" s="29" t="s">
        <v>1152</v>
      </c>
      <c r="D127" s="19" t="s">
        <v>1153</v>
      </c>
      <c r="E127" s="19">
        <v>2002</v>
      </c>
      <c r="F127" s="19">
        <v>8</v>
      </c>
      <c r="G127" s="19" t="s">
        <v>986</v>
      </c>
      <c r="H127" s="19" t="s">
        <v>1047</v>
      </c>
      <c r="I127" s="19" t="s">
        <v>1100</v>
      </c>
      <c r="J127" s="22" t="s">
        <v>1046</v>
      </c>
      <c r="K127" s="22" t="s">
        <v>1046</v>
      </c>
      <c r="L127" s="22" t="s">
        <v>1046</v>
      </c>
      <c r="M127" s="22" t="s">
        <v>1046</v>
      </c>
      <c r="N127" s="22">
        <v>34</v>
      </c>
      <c r="O127" s="22" t="s">
        <v>986</v>
      </c>
      <c r="P127" s="19" t="s">
        <v>1023</v>
      </c>
    </row>
    <row r="128" spans="1:16" ht="14" thickBot="1">
      <c r="A128" s="19" t="s">
        <v>1150</v>
      </c>
      <c r="B128" s="29" t="s">
        <v>1151</v>
      </c>
      <c r="C128" s="29" t="s">
        <v>1152</v>
      </c>
      <c r="D128" s="19" t="s">
        <v>1153</v>
      </c>
      <c r="E128" s="19">
        <v>2002</v>
      </c>
      <c r="F128" s="19">
        <v>8</v>
      </c>
      <c r="G128" s="19" t="s">
        <v>986</v>
      </c>
      <c r="H128" s="19" t="s">
        <v>1047</v>
      </c>
      <c r="I128" s="38" t="s">
        <v>1398</v>
      </c>
      <c r="J128" s="45" t="s">
        <v>1046</v>
      </c>
      <c r="K128" s="45" t="s">
        <v>1046</v>
      </c>
      <c r="L128" s="45" t="s">
        <v>1046</v>
      </c>
      <c r="M128" s="45" t="s">
        <v>1046</v>
      </c>
      <c r="N128" s="45">
        <v>44</v>
      </c>
      <c r="O128" s="45" t="s">
        <v>986</v>
      </c>
      <c r="P128" s="19" t="s">
        <v>1023</v>
      </c>
    </row>
    <row r="129" spans="1:16" ht="14" thickBot="1">
      <c r="A129" s="3"/>
      <c r="B129" s="5"/>
      <c r="C129" s="5"/>
      <c r="D129" s="3"/>
      <c r="E129" s="3"/>
      <c r="F129" s="3"/>
      <c r="G129" s="3"/>
      <c r="H129" s="3"/>
      <c r="I129" s="90" t="s">
        <v>1098</v>
      </c>
      <c r="J129" s="67" t="s">
        <v>253</v>
      </c>
      <c r="K129" s="67" t="s">
        <v>253</v>
      </c>
      <c r="L129" s="67" t="s">
        <v>253</v>
      </c>
      <c r="M129" s="67" t="s">
        <v>253</v>
      </c>
      <c r="N129" s="67">
        <v>39</v>
      </c>
      <c r="O129" s="68" t="s">
        <v>253</v>
      </c>
      <c r="P129" s="3"/>
    </row>
    <row r="130" spans="1:16" s="58" customFormat="1">
      <c r="A130" s="3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58" customFormat="1">
      <c r="A131" s="293"/>
      <c r="B131" s="297"/>
      <c r="C131" s="297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</row>
    <row r="132" spans="1:16" s="58" customFormat="1">
      <c r="A132" s="3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19" t="s">
        <v>911</v>
      </c>
      <c r="B133" s="29" t="s">
        <v>1378</v>
      </c>
      <c r="C133" s="29" t="s">
        <v>1379</v>
      </c>
      <c r="D133" s="19" t="s">
        <v>1027</v>
      </c>
      <c r="E133" s="19">
        <v>1996</v>
      </c>
      <c r="F133" s="19" t="s">
        <v>1083</v>
      </c>
      <c r="G133" s="34" t="s">
        <v>1046</v>
      </c>
      <c r="H133" s="19" t="s">
        <v>1047</v>
      </c>
      <c r="I133" s="19" t="s">
        <v>1100</v>
      </c>
      <c r="J133" s="22">
        <v>18</v>
      </c>
      <c r="K133" s="22" t="s">
        <v>986</v>
      </c>
      <c r="L133" s="22">
        <v>70</v>
      </c>
      <c r="M133" s="22" t="s">
        <v>986</v>
      </c>
      <c r="N133" s="109">
        <v>13</v>
      </c>
      <c r="O133" s="109" t="s">
        <v>986</v>
      </c>
      <c r="P133" s="19" t="s">
        <v>1088</v>
      </c>
    </row>
    <row r="134" spans="1:16" ht="14" thickBot="1">
      <c r="A134" s="19" t="s">
        <v>911</v>
      </c>
      <c r="B134" s="29" t="s">
        <v>1378</v>
      </c>
      <c r="C134" s="29" t="s">
        <v>1379</v>
      </c>
      <c r="D134" s="19" t="s">
        <v>1027</v>
      </c>
      <c r="E134" s="19">
        <v>1997</v>
      </c>
      <c r="F134" s="19" t="s">
        <v>1089</v>
      </c>
      <c r="G134" s="34" t="s">
        <v>1046</v>
      </c>
      <c r="H134" s="19" t="s">
        <v>1047</v>
      </c>
      <c r="I134" s="38" t="s">
        <v>1398</v>
      </c>
      <c r="J134" s="45">
        <v>20</v>
      </c>
      <c r="K134" s="45" t="s">
        <v>986</v>
      </c>
      <c r="L134" s="45">
        <v>40</v>
      </c>
      <c r="M134" s="45" t="s">
        <v>986</v>
      </c>
      <c r="N134" s="110">
        <v>8</v>
      </c>
      <c r="O134" s="110" t="s">
        <v>986</v>
      </c>
      <c r="P134" s="19" t="s">
        <v>1210</v>
      </c>
    </row>
    <row r="135" spans="1:16" ht="14" thickBot="1">
      <c r="A135" s="3"/>
      <c r="B135" s="5"/>
      <c r="C135" s="5"/>
      <c r="D135" s="3"/>
      <c r="E135" s="3"/>
      <c r="F135" s="3"/>
      <c r="G135" s="44"/>
      <c r="H135" s="3"/>
      <c r="I135" s="90" t="s">
        <v>398</v>
      </c>
      <c r="J135" s="67">
        <f>AVERAGE(J133:J134)</f>
        <v>19</v>
      </c>
      <c r="K135" s="67" t="s">
        <v>253</v>
      </c>
      <c r="L135" s="67">
        <f>AVERAGE(L133:L134)</f>
        <v>55</v>
      </c>
      <c r="M135" s="67" t="s">
        <v>253</v>
      </c>
      <c r="N135" s="67">
        <f>AVERAGE(N133:N134)</f>
        <v>10.5</v>
      </c>
      <c r="O135" s="68" t="s">
        <v>253</v>
      </c>
      <c r="P135" s="3"/>
    </row>
    <row r="136" spans="1:16">
      <c r="A136" s="3"/>
      <c r="B136" s="5"/>
      <c r="C136" s="5"/>
      <c r="D136" s="3"/>
      <c r="E136" s="3"/>
      <c r="F136" s="3"/>
      <c r="G136" s="44"/>
      <c r="H136" s="3"/>
      <c r="I136" s="3"/>
      <c r="J136" s="3"/>
      <c r="K136" s="3"/>
      <c r="L136" s="3"/>
      <c r="M136" s="3"/>
      <c r="N136" s="65"/>
      <c r="O136" s="65"/>
      <c r="P136" s="3"/>
    </row>
    <row r="137" spans="1:16">
      <c r="A137" s="296"/>
      <c r="B137" s="296"/>
      <c r="C137" s="296"/>
      <c r="D137" s="296"/>
      <c r="E137" s="296"/>
      <c r="F137" s="296"/>
      <c r="G137" s="296"/>
      <c r="H137" s="296"/>
      <c r="I137" s="296"/>
      <c r="J137" s="301"/>
      <c r="K137" s="301"/>
      <c r="L137" s="301"/>
      <c r="M137" s="301"/>
      <c r="N137" s="301"/>
      <c r="O137" s="301"/>
      <c r="P137" s="296"/>
    </row>
    <row r="138" spans="1:16" s="58" customFormat="1">
      <c r="A138" s="3"/>
      <c r="B138" s="5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58" customFormat="1">
      <c r="A139" s="544" t="s">
        <v>2132</v>
      </c>
      <c r="B139" s="576" t="s">
        <v>2136</v>
      </c>
      <c r="C139" s="576" t="s">
        <v>2137</v>
      </c>
      <c r="D139" s="545" t="s">
        <v>2135</v>
      </c>
      <c r="E139" s="545">
        <v>1997</v>
      </c>
      <c r="F139" s="545">
        <v>4</v>
      </c>
      <c r="G139" s="545">
        <v>14</v>
      </c>
      <c r="H139" s="19" t="s">
        <v>1047</v>
      </c>
      <c r="I139" s="545" t="s">
        <v>2134</v>
      </c>
      <c r="J139" s="546">
        <v>9</v>
      </c>
      <c r="K139" s="546" t="s">
        <v>1046</v>
      </c>
      <c r="L139" s="546">
        <v>62</v>
      </c>
      <c r="M139" s="546" t="s">
        <v>1046</v>
      </c>
      <c r="N139" s="546">
        <v>5.6</v>
      </c>
      <c r="O139" s="546" t="s">
        <v>1046</v>
      </c>
      <c r="P139" s="545" t="s">
        <v>2128</v>
      </c>
    </row>
    <row r="140" spans="1:16" s="58" customFormat="1">
      <c r="A140" s="544" t="s">
        <v>2132</v>
      </c>
      <c r="B140" s="576" t="s">
        <v>2136</v>
      </c>
      <c r="C140" s="576" t="s">
        <v>2137</v>
      </c>
      <c r="D140" s="545" t="s">
        <v>2135</v>
      </c>
      <c r="E140" s="545">
        <v>1997</v>
      </c>
      <c r="F140" s="545">
        <v>4</v>
      </c>
      <c r="G140" s="545">
        <v>26</v>
      </c>
      <c r="H140" s="19" t="s">
        <v>1047</v>
      </c>
      <c r="I140" s="545" t="s">
        <v>2134</v>
      </c>
      <c r="J140" s="546">
        <v>11</v>
      </c>
      <c r="K140" s="546" t="s">
        <v>1046</v>
      </c>
      <c r="L140" s="546" t="s">
        <v>1046</v>
      </c>
      <c r="M140" s="546" t="s">
        <v>1046</v>
      </c>
      <c r="N140" s="546" t="s">
        <v>1046</v>
      </c>
      <c r="O140" s="546" t="s">
        <v>1046</v>
      </c>
      <c r="P140" s="545" t="s">
        <v>2128</v>
      </c>
    </row>
    <row r="141" spans="1:16" s="58" customFormat="1">
      <c r="A141" s="544" t="s">
        <v>2132</v>
      </c>
      <c r="B141" s="576" t="s">
        <v>2136</v>
      </c>
      <c r="C141" s="576" t="s">
        <v>2137</v>
      </c>
      <c r="D141" s="545" t="s">
        <v>2135</v>
      </c>
      <c r="E141" s="545">
        <v>2010</v>
      </c>
      <c r="F141" s="545">
        <v>2</v>
      </c>
      <c r="G141" s="545">
        <v>11</v>
      </c>
      <c r="H141" s="19" t="s">
        <v>1047</v>
      </c>
      <c r="I141" s="545" t="s">
        <v>2134</v>
      </c>
      <c r="J141" s="546">
        <v>8.4700000000000006</v>
      </c>
      <c r="K141" s="546" t="s">
        <v>1046</v>
      </c>
      <c r="L141" s="546">
        <v>11</v>
      </c>
      <c r="M141" s="546" t="s">
        <v>1046</v>
      </c>
      <c r="N141" s="546">
        <v>0.89300000000000002</v>
      </c>
      <c r="O141" s="546" t="s">
        <v>1046</v>
      </c>
      <c r="P141" s="545" t="s">
        <v>2128</v>
      </c>
    </row>
    <row r="142" spans="1:16" s="58" customFormat="1" ht="14" thickBot="1">
      <c r="A142" s="544" t="s">
        <v>2132</v>
      </c>
      <c r="B142" s="576" t="s">
        <v>2136</v>
      </c>
      <c r="C142" s="576" t="s">
        <v>2137</v>
      </c>
      <c r="D142" s="545" t="s">
        <v>2135</v>
      </c>
      <c r="E142" s="545">
        <v>2010</v>
      </c>
      <c r="F142" s="545">
        <v>3</v>
      </c>
      <c r="G142" s="545">
        <v>1</v>
      </c>
      <c r="H142" s="19" t="s">
        <v>1047</v>
      </c>
      <c r="I142" s="563" t="s">
        <v>2134</v>
      </c>
      <c r="J142" s="549">
        <v>16.8</v>
      </c>
      <c r="K142" s="549" t="s">
        <v>1046</v>
      </c>
      <c r="L142" s="549">
        <v>61</v>
      </c>
      <c r="M142" s="549" t="s">
        <v>1046</v>
      </c>
      <c r="N142" s="549">
        <v>10.199999999999999</v>
      </c>
      <c r="O142" s="549" t="s">
        <v>1046</v>
      </c>
      <c r="P142" s="545" t="s">
        <v>2128</v>
      </c>
    </row>
    <row r="143" spans="1:16" s="58" customFormat="1" ht="14" thickBot="1">
      <c r="A143" s="575"/>
      <c r="B143" s="5"/>
      <c r="C143" s="5"/>
      <c r="D143" s="3"/>
      <c r="E143" s="3"/>
      <c r="F143" s="3"/>
      <c r="G143" s="3"/>
      <c r="H143" s="3"/>
      <c r="I143" s="90" t="s">
        <v>36</v>
      </c>
      <c r="J143" s="67">
        <f>ROUND(AVERAGE(J139:J142),1)</f>
        <v>11.3</v>
      </c>
      <c r="K143" s="67">
        <f>ROUND(STDEV(J139:J142),1)</f>
        <v>3.8</v>
      </c>
      <c r="L143" s="67">
        <f>ROUND(AVERAGE(L139:L142),1)</f>
        <v>44.7</v>
      </c>
      <c r="M143" s="67">
        <f>ROUND(STDEV(L139:L142),1)</f>
        <v>29.2</v>
      </c>
      <c r="N143" s="67">
        <f>ROUND(AVERAGE(N139:N142),1)</f>
        <v>5.6</v>
      </c>
      <c r="O143" s="68">
        <f>ROUND(STDEV(N139:N142),1)</f>
        <v>4.7</v>
      </c>
      <c r="P143" s="3"/>
    </row>
    <row r="144" spans="1:16" s="1" customFormat="1"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1" customFormat="1">
      <c r="A145" s="572"/>
      <c r="B145" s="573"/>
      <c r="C145" s="573"/>
      <c r="D145" s="574"/>
      <c r="E145" s="574"/>
      <c r="F145" s="574"/>
      <c r="G145" s="574"/>
      <c r="H145" s="574"/>
      <c r="I145" s="574"/>
      <c r="J145" s="574"/>
      <c r="K145" s="574"/>
      <c r="L145" s="574"/>
      <c r="M145" s="574"/>
      <c r="N145" s="574"/>
      <c r="O145" s="574"/>
      <c r="P145" s="574"/>
    </row>
    <row r="146" spans="1:16" s="1" customFormat="1"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58" customFormat="1">
      <c r="A147" s="544" t="s">
        <v>2132</v>
      </c>
      <c r="B147" s="576" t="s">
        <v>2140</v>
      </c>
      <c r="C147" s="576" t="s">
        <v>2141</v>
      </c>
      <c r="D147" s="545" t="s">
        <v>2142</v>
      </c>
      <c r="E147" s="545">
        <v>2011</v>
      </c>
      <c r="F147" s="545">
        <v>10</v>
      </c>
      <c r="G147" s="545">
        <v>30</v>
      </c>
      <c r="H147" s="19" t="s">
        <v>1047</v>
      </c>
      <c r="I147" s="545" t="s">
        <v>2134</v>
      </c>
      <c r="J147" s="546" t="s">
        <v>1046</v>
      </c>
      <c r="K147" s="546" t="s">
        <v>1046</v>
      </c>
      <c r="L147" s="546" t="s">
        <v>1046</v>
      </c>
      <c r="M147" s="546" t="s">
        <v>1046</v>
      </c>
      <c r="N147" s="546">
        <v>8.6</v>
      </c>
      <c r="O147" s="546" t="s">
        <v>1046</v>
      </c>
      <c r="P147" s="545" t="s">
        <v>2128</v>
      </c>
    </row>
    <row r="148" spans="1:16" s="58" customFormat="1">
      <c r="A148" s="544" t="s">
        <v>2132</v>
      </c>
      <c r="B148" s="576" t="s">
        <v>2140</v>
      </c>
      <c r="C148" s="576" t="s">
        <v>2141</v>
      </c>
      <c r="D148" s="545" t="s">
        <v>2142</v>
      </c>
      <c r="E148" s="545">
        <v>2011</v>
      </c>
      <c r="F148" s="545">
        <v>11</v>
      </c>
      <c r="G148" s="545">
        <v>1</v>
      </c>
      <c r="H148" s="19" t="s">
        <v>1047</v>
      </c>
      <c r="I148" s="545" t="s">
        <v>2134</v>
      </c>
      <c r="J148" s="546">
        <v>8.5</v>
      </c>
      <c r="K148" s="546" t="s">
        <v>1046</v>
      </c>
      <c r="L148" s="546">
        <v>67</v>
      </c>
      <c r="M148" s="546" t="s">
        <v>1046</v>
      </c>
      <c r="N148" s="546">
        <v>5.7</v>
      </c>
      <c r="O148" s="546" t="s">
        <v>1046</v>
      </c>
      <c r="P148" s="545" t="s">
        <v>2128</v>
      </c>
    </row>
    <row r="149" spans="1:16" s="58" customFormat="1" ht="14" thickBot="1">
      <c r="A149" s="544" t="s">
        <v>2132</v>
      </c>
      <c r="B149" s="576" t="s">
        <v>2140</v>
      </c>
      <c r="C149" s="576" t="s">
        <v>2141</v>
      </c>
      <c r="D149" s="545" t="s">
        <v>2142</v>
      </c>
      <c r="E149" s="545">
        <v>2011</v>
      </c>
      <c r="F149" s="545">
        <v>11</v>
      </c>
      <c r="G149" s="545">
        <v>2</v>
      </c>
      <c r="H149" s="19" t="s">
        <v>1047</v>
      </c>
      <c r="I149" s="563" t="s">
        <v>2134</v>
      </c>
      <c r="J149" s="549">
        <v>11.9</v>
      </c>
      <c r="K149" s="549" t="s">
        <v>1046</v>
      </c>
      <c r="L149" s="549">
        <v>40</v>
      </c>
      <c r="M149" s="549" t="s">
        <v>1046</v>
      </c>
      <c r="N149" s="549">
        <v>4.7</v>
      </c>
      <c r="O149" s="549" t="s">
        <v>1046</v>
      </c>
      <c r="P149" s="545" t="s">
        <v>2128</v>
      </c>
    </row>
    <row r="150" spans="1:16" s="58" customFormat="1" ht="14" thickBot="1">
      <c r="A150" s="3"/>
      <c r="B150" s="5"/>
      <c r="C150" s="5"/>
      <c r="D150" s="3"/>
      <c r="E150" s="3"/>
      <c r="F150" s="3"/>
      <c r="G150" s="3"/>
      <c r="H150" s="3"/>
      <c r="I150" s="90" t="s">
        <v>36</v>
      </c>
      <c r="J150" s="67">
        <f>ROUND(AVERAGE(J147:J149),1)</f>
        <v>10.199999999999999</v>
      </c>
      <c r="K150" s="435" t="s">
        <v>1046</v>
      </c>
      <c r="L150" s="67">
        <f t="shared" ref="L150" si="14">ROUND(AVERAGE(L147:L149),1)</f>
        <v>53.5</v>
      </c>
      <c r="M150" s="435" t="s">
        <v>1046</v>
      </c>
      <c r="N150" s="67">
        <f>ROUND(AVERAGE(N147:N149),1)</f>
        <v>6.3</v>
      </c>
      <c r="O150" s="68">
        <f>ROUND(STDEV(N147:N149),1)</f>
        <v>2</v>
      </c>
      <c r="P150" s="3"/>
    </row>
    <row r="151" spans="1:16" s="58" customFormat="1">
      <c r="A151" s="3"/>
      <c r="B151" s="5"/>
      <c r="C151" s="5"/>
      <c r="D151" s="3"/>
      <c r="E151" s="3"/>
      <c r="F151" s="3"/>
      <c r="G151" s="3"/>
      <c r="H151" s="3"/>
      <c r="I151" s="60"/>
      <c r="J151" s="80"/>
      <c r="K151" s="577"/>
      <c r="L151" s="80"/>
      <c r="M151" s="577"/>
      <c r="N151" s="80"/>
      <c r="O151" s="80"/>
      <c r="P151" s="3"/>
    </row>
    <row r="152" spans="1:16">
      <c r="A152" s="293"/>
      <c r="B152" s="297"/>
      <c r="C152" s="297"/>
      <c r="D152" s="293"/>
      <c r="E152" s="293"/>
      <c r="F152" s="293"/>
      <c r="G152" s="349"/>
      <c r="H152" s="293"/>
      <c r="I152" s="293"/>
      <c r="J152" s="293"/>
      <c r="K152" s="293"/>
      <c r="L152" s="293"/>
      <c r="M152" s="293"/>
      <c r="N152" s="345"/>
      <c r="O152" s="345"/>
      <c r="P152" s="293"/>
    </row>
    <row r="153" spans="1:16" s="58" customFormat="1" ht="14" thickBot="1">
      <c r="A153" s="3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4" thickBot="1">
      <c r="A154" s="19" t="s">
        <v>48</v>
      </c>
      <c r="B154" s="29" t="s">
        <v>1005</v>
      </c>
      <c r="C154" s="29" t="s">
        <v>1006</v>
      </c>
      <c r="D154" s="19" t="s">
        <v>996</v>
      </c>
      <c r="E154" s="19"/>
      <c r="F154" s="19"/>
      <c r="G154" s="19"/>
      <c r="H154" s="27" t="s">
        <v>997</v>
      </c>
      <c r="I154" s="90" t="s">
        <v>1099</v>
      </c>
      <c r="J154" s="67">
        <v>79</v>
      </c>
      <c r="K154" s="67" t="s">
        <v>253</v>
      </c>
      <c r="L154" s="67">
        <v>84</v>
      </c>
      <c r="M154" s="67" t="s">
        <v>253</v>
      </c>
      <c r="N154" s="67">
        <v>66.599999999999994</v>
      </c>
      <c r="O154" s="68" t="s">
        <v>253</v>
      </c>
      <c r="P154" s="30" t="s">
        <v>275</v>
      </c>
    </row>
    <row r="155" spans="1:16" s="58" customFormat="1">
      <c r="A155" s="3"/>
      <c r="B155" s="5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58" customFormat="1">
      <c r="A156" s="293"/>
      <c r="B156" s="297"/>
      <c r="C156" s="297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</row>
    <row r="157" spans="1:16" s="58" customFormat="1" ht="14" thickBot="1">
      <c r="A157" s="3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>
      <c r="A158" s="19" t="s">
        <v>1313</v>
      </c>
      <c r="B158" s="29" t="s">
        <v>1314</v>
      </c>
      <c r="C158" s="29" t="s">
        <v>1315</v>
      </c>
      <c r="D158" s="19" t="s">
        <v>1316</v>
      </c>
      <c r="E158" s="19">
        <v>2007</v>
      </c>
      <c r="F158" s="19" t="s">
        <v>1046</v>
      </c>
      <c r="G158" s="19" t="s">
        <v>1046</v>
      </c>
      <c r="H158" s="27" t="s">
        <v>1317</v>
      </c>
      <c r="I158" s="47" t="s">
        <v>1206</v>
      </c>
      <c r="J158" s="51">
        <v>6</v>
      </c>
      <c r="K158" s="51" t="s">
        <v>1046</v>
      </c>
      <c r="L158" s="51">
        <v>100</v>
      </c>
      <c r="M158" s="51" t="s">
        <v>1046</v>
      </c>
      <c r="N158" s="51">
        <v>6</v>
      </c>
      <c r="O158" s="52" t="s">
        <v>1046</v>
      </c>
      <c r="P158" s="127" t="s">
        <v>532</v>
      </c>
    </row>
    <row r="159" spans="1:16" ht="15">
      <c r="A159" s="19" t="s">
        <v>1313</v>
      </c>
      <c r="B159" s="29" t="s">
        <v>1314</v>
      </c>
      <c r="C159" s="29" t="s">
        <v>1315</v>
      </c>
      <c r="D159" s="19" t="s">
        <v>1316</v>
      </c>
      <c r="E159" s="19">
        <v>2007</v>
      </c>
      <c r="F159" s="19" t="s">
        <v>1046</v>
      </c>
      <c r="G159" s="19" t="s">
        <v>1046</v>
      </c>
      <c r="H159" s="27" t="s">
        <v>1317</v>
      </c>
      <c r="I159" s="48" t="s">
        <v>1207</v>
      </c>
      <c r="J159" s="53">
        <v>42</v>
      </c>
      <c r="K159" s="53" t="s">
        <v>1046</v>
      </c>
      <c r="L159" s="53">
        <v>52</v>
      </c>
      <c r="M159" s="53" t="s">
        <v>1046</v>
      </c>
      <c r="N159" s="53">
        <v>22</v>
      </c>
      <c r="O159" s="54" t="s">
        <v>1046</v>
      </c>
      <c r="P159" s="127" t="s">
        <v>532</v>
      </c>
    </row>
    <row r="160" spans="1:16" ht="15">
      <c r="A160" s="19" t="s">
        <v>1313</v>
      </c>
      <c r="B160" s="29" t="s">
        <v>1314</v>
      </c>
      <c r="C160" s="29" t="s">
        <v>1315</v>
      </c>
      <c r="D160" s="19" t="s">
        <v>1316</v>
      </c>
      <c r="E160" s="19">
        <v>2007</v>
      </c>
      <c r="F160" s="19" t="s">
        <v>1046</v>
      </c>
      <c r="G160" s="19" t="s">
        <v>1046</v>
      </c>
      <c r="H160" s="27" t="s">
        <v>1317</v>
      </c>
      <c r="I160" s="48" t="s">
        <v>1416</v>
      </c>
      <c r="J160" s="53">
        <f>SUM(J158:J159)</f>
        <v>48</v>
      </c>
      <c r="K160" s="53" t="s">
        <v>1398</v>
      </c>
      <c r="L160" s="53">
        <f>AVERAGE(L158:L159)</f>
        <v>76</v>
      </c>
      <c r="M160" s="53" t="s">
        <v>1398</v>
      </c>
      <c r="N160" s="53">
        <f>SUM(N158:N159)</f>
        <v>28</v>
      </c>
      <c r="O160" s="54" t="s">
        <v>1398</v>
      </c>
      <c r="P160" s="127" t="s">
        <v>532</v>
      </c>
    </row>
    <row r="161" spans="1:16" ht="15">
      <c r="A161" s="19" t="s">
        <v>1313</v>
      </c>
      <c r="B161" s="29" t="s">
        <v>1435</v>
      </c>
      <c r="C161" s="29" t="s">
        <v>1138</v>
      </c>
      <c r="D161" s="19" t="s">
        <v>1329</v>
      </c>
      <c r="E161" s="19">
        <v>2007</v>
      </c>
      <c r="F161" s="19" t="s">
        <v>1046</v>
      </c>
      <c r="G161" s="19" t="s">
        <v>1046</v>
      </c>
      <c r="H161" s="27" t="s">
        <v>1317</v>
      </c>
      <c r="I161" s="48" t="s">
        <v>1208</v>
      </c>
      <c r="J161" s="53">
        <v>8</v>
      </c>
      <c r="K161" s="53" t="s">
        <v>1398</v>
      </c>
      <c r="L161" s="53">
        <v>62</v>
      </c>
      <c r="M161" s="53" t="s">
        <v>1398</v>
      </c>
      <c r="N161" s="53">
        <v>5</v>
      </c>
      <c r="O161" s="54" t="s">
        <v>1398</v>
      </c>
      <c r="P161" s="127" t="s">
        <v>180</v>
      </c>
    </row>
    <row r="162" spans="1:16" ht="15">
      <c r="A162" s="19" t="s">
        <v>1313</v>
      </c>
      <c r="B162" s="29" t="s">
        <v>1435</v>
      </c>
      <c r="C162" s="29" t="s">
        <v>1138</v>
      </c>
      <c r="D162" s="19" t="s">
        <v>1329</v>
      </c>
      <c r="E162" s="19">
        <v>2007</v>
      </c>
      <c r="F162" s="19" t="s">
        <v>1046</v>
      </c>
      <c r="G162" s="19" t="s">
        <v>1046</v>
      </c>
      <c r="H162" s="27" t="s">
        <v>1317</v>
      </c>
      <c r="I162" s="48" t="s">
        <v>1434</v>
      </c>
      <c r="J162" s="53">
        <v>175</v>
      </c>
      <c r="K162" s="53" t="s">
        <v>1398</v>
      </c>
      <c r="L162" s="53">
        <v>30</v>
      </c>
      <c r="M162" s="53" t="s">
        <v>1398</v>
      </c>
      <c r="N162" s="53">
        <v>53</v>
      </c>
      <c r="O162" s="54" t="s">
        <v>1398</v>
      </c>
      <c r="P162" s="127" t="s">
        <v>181</v>
      </c>
    </row>
    <row r="163" spans="1:16" ht="15">
      <c r="A163" s="19" t="s">
        <v>1313</v>
      </c>
      <c r="B163" s="29" t="s">
        <v>1435</v>
      </c>
      <c r="C163" s="29" t="s">
        <v>1138</v>
      </c>
      <c r="D163" s="19" t="s">
        <v>1329</v>
      </c>
      <c r="E163" s="19">
        <v>2007</v>
      </c>
      <c r="F163" s="19" t="s">
        <v>1046</v>
      </c>
      <c r="G163" s="19" t="s">
        <v>1046</v>
      </c>
      <c r="H163" s="27" t="s">
        <v>1317</v>
      </c>
      <c r="I163" s="48" t="s">
        <v>1416</v>
      </c>
      <c r="J163" s="53">
        <f>SUM(J161:J162)</f>
        <v>183</v>
      </c>
      <c r="K163" s="53" t="s">
        <v>1398</v>
      </c>
      <c r="L163" s="53">
        <f>AVERAGE(L161:L162)</f>
        <v>46</v>
      </c>
      <c r="M163" s="53" t="s">
        <v>1398</v>
      </c>
      <c r="N163" s="53">
        <f>SUM(N161:N162)</f>
        <v>58</v>
      </c>
      <c r="O163" s="54" t="s">
        <v>1398</v>
      </c>
      <c r="P163" s="127" t="s">
        <v>182</v>
      </c>
    </row>
    <row r="164" spans="1:16" ht="15">
      <c r="A164" s="19" t="s">
        <v>1313</v>
      </c>
      <c r="B164" s="29" t="s">
        <v>1370</v>
      </c>
      <c r="C164" s="29" t="s">
        <v>1371</v>
      </c>
      <c r="D164" s="19" t="s">
        <v>1185</v>
      </c>
      <c r="E164" s="19">
        <v>2008</v>
      </c>
      <c r="F164" s="19" t="s">
        <v>1046</v>
      </c>
      <c r="G164" s="19" t="s">
        <v>1046</v>
      </c>
      <c r="H164" s="27" t="s">
        <v>1317</v>
      </c>
      <c r="I164" s="48" t="s">
        <v>1208</v>
      </c>
      <c r="J164" s="53">
        <v>7</v>
      </c>
      <c r="K164" s="53" t="s">
        <v>1398</v>
      </c>
      <c r="L164" s="53">
        <v>86</v>
      </c>
      <c r="M164" s="53" t="s">
        <v>1398</v>
      </c>
      <c r="N164" s="53">
        <v>6</v>
      </c>
      <c r="O164" s="54" t="s">
        <v>1398</v>
      </c>
      <c r="P164" s="127" t="s">
        <v>532</v>
      </c>
    </row>
    <row r="165" spans="1:16" ht="15">
      <c r="A165" s="19" t="s">
        <v>1313</v>
      </c>
      <c r="B165" s="29" t="s">
        <v>1370</v>
      </c>
      <c r="C165" s="29" t="s">
        <v>1371</v>
      </c>
      <c r="D165" s="19" t="s">
        <v>1385</v>
      </c>
      <c r="E165" s="19">
        <v>2008</v>
      </c>
      <c r="F165" s="19" t="s">
        <v>1046</v>
      </c>
      <c r="G165" s="19" t="s">
        <v>1046</v>
      </c>
      <c r="H165" s="27" t="s">
        <v>1317</v>
      </c>
      <c r="I165" s="48" t="s">
        <v>1434</v>
      </c>
      <c r="J165" s="53">
        <v>94</v>
      </c>
      <c r="K165" s="53" t="s">
        <v>1398</v>
      </c>
      <c r="L165" s="53">
        <v>50</v>
      </c>
      <c r="M165" s="53" t="s">
        <v>1398</v>
      </c>
      <c r="N165" s="53">
        <v>47</v>
      </c>
      <c r="O165" s="54" t="s">
        <v>1398</v>
      </c>
      <c r="P165" s="127" t="s">
        <v>181</v>
      </c>
    </row>
    <row r="166" spans="1:16" ht="15">
      <c r="A166" s="19" t="s">
        <v>1313</v>
      </c>
      <c r="B166" s="29" t="s">
        <v>1370</v>
      </c>
      <c r="C166" s="29" t="s">
        <v>1371</v>
      </c>
      <c r="D166" s="19" t="s">
        <v>1385</v>
      </c>
      <c r="E166" s="19">
        <v>2008</v>
      </c>
      <c r="F166" s="19" t="s">
        <v>1046</v>
      </c>
      <c r="G166" s="19" t="s">
        <v>1046</v>
      </c>
      <c r="H166" s="27" t="s">
        <v>1317</v>
      </c>
      <c r="I166" s="48" t="s">
        <v>1416</v>
      </c>
      <c r="J166" s="53">
        <f>SUM(J164:J165)</f>
        <v>101</v>
      </c>
      <c r="K166" s="53" t="s">
        <v>1398</v>
      </c>
      <c r="L166" s="53">
        <f>AVERAGE(L164:L165)</f>
        <v>68</v>
      </c>
      <c r="M166" s="53" t="s">
        <v>1398</v>
      </c>
      <c r="N166" s="53">
        <f>SUM(N164:N165)</f>
        <v>53</v>
      </c>
      <c r="O166" s="54" t="s">
        <v>1398</v>
      </c>
      <c r="P166" s="127" t="s">
        <v>265</v>
      </c>
    </row>
    <row r="167" spans="1:16" ht="15">
      <c r="A167" s="19" t="s">
        <v>1313</v>
      </c>
      <c r="B167" s="29" t="s">
        <v>1386</v>
      </c>
      <c r="C167" s="29" t="s">
        <v>1387</v>
      </c>
      <c r="D167" s="19" t="s">
        <v>1388</v>
      </c>
      <c r="E167" s="19" t="s">
        <v>1389</v>
      </c>
      <c r="F167" s="19" t="s">
        <v>1046</v>
      </c>
      <c r="G167" s="19" t="s">
        <v>1046</v>
      </c>
      <c r="H167" s="27" t="s">
        <v>1317</v>
      </c>
      <c r="I167" s="48" t="s">
        <v>1208</v>
      </c>
      <c r="J167" s="53">
        <v>8</v>
      </c>
      <c r="K167" s="53" t="s">
        <v>1398</v>
      </c>
      <c r="L167" s="53">
        <v>83</v>
      </c>
      <c r="M167" s="53" t="s">
        <v>1398</v>
      </c>
      <c r="N167" s="53">
        <v>7</v>
      </c>
      <c r="O167" s="54" t="s">
        <v>1398</v>
      </c>
      <c r="P167" s="127" t="s">
        <v>182</v>
      </c>
    </row>
    <row r="168" spans="1:16" ht="15">
      <c r="A168" s="19" t="s">
        <v>1313</v>
      </c>
      <c r="B168" s="29" t="s">
        <v>1386</v>
      </c>
      <c r="C168" s="29" t="s">
        <v>1387</v>
      </c>
      <c r="D168" s="19" t="s">
        <v>1388</v>
      </c>
      <c r="E168" s="19" t="s">
        <v>1389</v>
      </c>
      <c r="F168" s="19" t="s">
        <v>1046</v>
      </c>
      <c r="G168" s="19" t="s">
        <v>1046</v>
      </c>
      <c r="H168" s="27" t="s">
        <v>1317</v>
      </c>
      <c r="I168" s="48" t="s">
        <v>1434</v>
      </c>
      <c r="J168" s="53">
        <v>52</v>
      </c>
      <c r="K168" s="53" t="s">
        <v>1398</v>
      </c>
      <c r="L168" s="53">
        <v>38</v>
      </c>
      <c r="M168" s="53" t="s">
        <v>1398</v>
      </c>
      <c r="N168" s="53">
        <v>20</v>
      </c>
      <c r="O168" s="54" t="s">
        <v>1398</v>
      </c>
      <c r="P168" s="127" t="s">
        <v>183</v>
      </c>
    </row>
    <row r="169" spans="1:16" ht="15">
      <c r="A169" s="19" t="s">
        <v>1313</v>
      </c>
      <c r="B169" s="29" t="s">
        <v>1386</v>
      </c>
      <c r="C169" s="29" t="s">
        <v>1387</v>
      </c>
      <c r="D169" s="19" t="s">
        <v>1388</v>
      </c>
      <c r="E169" s="19" t="s">
        <v>1389</v>
      </c>
      <c r="F169" s="19" t="s">
        <v>1046</v>
      </c>
      <c r="G169" s="19" t="s">
        <v>1046</v>
      </c>
      <c r="H169" s="27" t="s">
        <v>1317</v>
      </c>
      <c r="I169" s="48" t="s">
        <v>1416</v>
      </c>
      <c r="J169" s="53">
        <f>SUM(J167:J168)</f>
        <v>60</v>
      </c>
      <c r="K169" s="53" t="s">
        <v>1398</v>
      </c>
      <c r="L169" s="53">
        <f>AVERAGE(L167:L168)</f>
        <v>60.5</v>
      </c>
      <c r="M169" s="53" t="s">
        <v>1398</v>
      </c>
      <c r="N169" s="53">
        <f>SUM(N167:N168)</f>
        <v>27</v>
      </c>
      <c r="O169" s="54" t="s">
        <v>1398</v>
      </c>
      <c r="P169" s="127" t="s">
        <v>532</v>
      </c>
    </row>
    <row r="170" spans="1:16" ht="15">
      <c r="A170" s="19" t="s">
        <v>1313</v>
      </c>
      <c r="B170" s="29" t="s">
        <v>1390</v>
      </c>
      <c r="C170" s="29" t="s">
        <v>1391</v>
      </c>
      <c r="D170" s="19" t="s">
        <v>1403</v>
      </c>
      <c r="E170" s="19">
        <v>1983</v>
      </c>
      <c r="F170" s="19" t="s">
        <v>1046</v>
      </c>
      <c r="G170" s="19" t="s">
        <v>1046</v>
      </c>
      <c r="H170" s="27" t="s">
        <v>1317</v>
      </c>
      <c r="I170" s="48" t="s">
        <v>1208</v>
      </c>
      <c r="J170" s="53">
        <v>9</v>
      </c>
      <c r="K170" s="53" t="s">
        <v>1398</v>
      </c>
      <c r="L170" s="53">
        <v>100</v>
      </c>
      <c r="M170" s="53" t="s">
        <v>1398</v>
      </c>
      <c r="N170" s="53">
        <v>9</v>
      </c>
      <c r="O170" s="54" t="s">
        <v>1398</v>
      </c>
      <c r="P170" s="127" t="s">
        <v>180</v>
      </c>
    </row>
    <row r="171" spans="1:16" ht="15">
      <c r="A171" s="19" t="s">
        <v>1313</v>
      </c>
      <c r="B171" s="29" t="s">
        <v>1390</v>
      </c>
      <c r="C171" s="29" t="s">
        <v>1391</v>
      </c>
      <c r="D171" s="19" t="s">
        <v>1403</v>
      </c>
      <c r="E171" s="19">
        <v>1983</v>
      </c>
      <c r="F171" s="19" t="s">
        <v>1046</v>
      </c>
      <c r="G171" s="19" t="s">
        <v>1046</v>
      </c>
      <c r="H171" s="27" t="s">
        <v>1317</v>
      </c>
      <c r="I171" s="48" t="s">
        <v>1434</v>
      </c>
      <c r="J171" s="53">
        <v>61</v>
      </c>
      <c r="K171" s="53" t="s">
        <v>1398</v>
      </c>
      <c r="L171" s="53">
        <v>56</v>
      </c>
      <c r="M171" s="53" t="s">
        <v>1398</v>
      </c>
      <c r="N171" s="53">
        <v>34</v>
      </c>
      <c r="O171" s="54" t="s">
        <v>1398</v>
      </c>
      <c r="P171" s="127" t="s">
        <v>183</v>
      </c>
    </row>
    <row r="172" spans="1:16" ht="15">
      <c r="A172" s="19" t="s">
        <v>1313</v>
      </c>
      <c r="B172" s="29" t="s">
        <v>1390</v>
      </c>
      <c r="C172" s="29" t="s">
        <v>1391</v>
      </c>
      <c r="D172" s="19" t="s">
        <v>1403</v>
      </c>
      <c r="E172" s="19">
        <v>1983</v>
      </c>
      <c r="F172" s="19" t="s">
        <v>1046</v>
      </c>
      <c r="G172" s="19" t="s">
        <v>1046</v>
      </c>
      <c r="H172" s="27" t="s">
        <v>1317</v>
      </c>
      <c r="I172" s="48" t="s">
        <v>1416</v>
      </c>
      <c r="J172" s="53">
        <f>SUM(J170:J171)</f>
        <v>70</v>
      </c>
      <c r="K172" s="53" t="s">
        <v>1398</v>
      </c>
      <c r="L172" s="53">
        <f>AVERAGE(L170:L171)</f>
        <v>78</v>
      </c>
      <c r="M172" s="53" t="s">
        <v>1398</v>
      </c>
      <c r="N172" s="53">
        <f>SUM(N170:N171)</f>
        <v>43</v>
      </c>
      <c r="O172" s="54" t="s">
        <v>1398</v>
      </c>
      <c r="P172" s="127" t="s">
        <v>532</v>
      </c>
    </row>
    <row r="173" spans="1:16" ht="15">
      <c r="A173" s="19" t="s">
        <v>1313</v>
      </c>
      <c r="B173" s="29" t="s">
        <v>1285</v>
      </c>
      <c r="C173" s="29" t="s">
        <v>1286</v>
      </c>
      <c r="D173" s="19" t="s">
        <v>981</v>
      </c>
      <c r="E173" s="19">
        <v>2000</v>
      </c>
      <c r="F173" s="19" t="s">
        <v>1046</v>
      </c>
      <c r="G173" s="19" t="s">
        <v>1046</v>
      </c>
      <c r="H173" s="27" t="s">
        <v>1317</v>
      </c>
      <c r="I173" s="48" t="s">
        <v>1208</v>
      </c>
      <c r="J173" s="53">
        <v>44</v>
      </c>
      <c r="K173" s="53" t="s">
        <v>1398</v>
      </c>
      <c r="L173" s="53">
        <v>80</v>
      </c>
      <c r="M173" s="53" t="s">
        <v>1398</v>
      </c>
      <c r="N173" s="53">
        <v>35</v>
      </c>
      <c r="O173" s="54" t="s">
        <v>1398</v>
      </c>
      <c r="P173" s="127" t="s">
        <v>532</v>
      </c>
    </row>
    <row r="174" spans="1:16" ht="15">
      <c r="A174" s="19" t="s">
        <v>1313</v>
      </c>
      <c r="B174" s="29" t="s">
        <v>1285</v>
      </c>
      <c r="C174" s="29" t="s">
        <v>1286</v>
      </c>
      <c r="D174" s="19" t="s">
        <v>981</v>
      </c>
      <c r="E174" s="19">
        <v>2000</v>
      </c>
      <c r="F174" s="19" t="s">
        <v>1046</v>
      </c>
      <c r="G174" s="19" t="s">
        <v>1046</v>
      </c>
      <c r="H174" s="27" t="s">
        <v>1317</v>
      </c>
      <c r="I174" s="48" t="s">
        <v>1434</v>
      </c>
      <c r="J174" s="53">
        <v>600</v>
      </c>
      <c r="K174" s="53" t="s">
        <v>1398</v>
      </c>
      <c r="L174" s="53">
        <v>44</v>
      </c>
      <c r="M174" s="53" t="s">
        <v>1398</v>
      </c>
      <c r="N174" s="53">
        <v>264</v>
      </c>
      <c r="O174" s="54" t="s">
        <v>1398</v>
      </c>
      <c r="P174" s="127" t="s">
        <v>181</v>
      </c>
    </row>
    <row r="175" spans="1:16" ht="15">
      <c r="A175" s="19" t="s">
        <v>1313</v>
      </c>
      <c r="B175" s="29" t="s">
        <v>1285</v>
      </c>
      <c r="C175" s="29" t="s">
        <v>1286</v>
      </c>
      <c r="D175" s="19" t="s">
        <v>981</v>
      </c>
      <c r="E175" s="19">
        <v>2000</v>
      </c>
      <c r="F175" s="19" t="s">
        <v>1046</v>
      </c>
      <c r="G175" s="19" t="s">
        <v>1046</v>
      </c>
      <c r="H175" s="27" t="s">
        <v>1317</v>
      </c>
      <c r="I175" s="48" t="s">
        <v>1416</v>
      </c>
      <c r="J175" s="53">
        <f>SUM(J173:J174)</f>
        <v>644</v>
      </c>
      <c r="K175" s="53" t="s">
        <v>1398</v>
      </c>
      <c r="L175" s="53">
        <f>AVERAGE(L173:L174)</f>
        <v>62</v>
      </c>
      <c r="M175" s="53" t="s">
        <v>1398</v>
      </c>
      <c r="N175" s="53">
        <f>SUM(N173:N174)</f>
        <v>299</v>
      </c>
      <c r="O175" s="54" t="s">
        <v>1398</v>
      </c>
      <c r="P175" s="127" t="s">
        <v>184</v>
      </c>
    </row>
    <row r="176" spans="1:16" ht="15">
      <c r="A176" s="19" t="s">
        <v>1313</v>
      </c>
      <c r="B176" s="29" t="s">
        <v>982</v>
      </c>
      <c r="C176" s="29" t="s">
        <v>1080</v>
      </c>
      <c r="D176" s="19" t="s">
        <v>966</v>
      </c>
      <c r="E176" s="19">
        <v>2004</v>
      </c>
      <c r="F176" s="19" t="s">
        <v>1046</v>
      </c>
      <c r="G176" s="19" t="s">
        <v>1046</v>
      </c>
      <c r="H176" s="27" t="s">
        <v>1317</v>
      </c>
      <c r="I176" s="48" t="s">
        <v>1208</v>
      </c>
      <c r="J176" s="53">
        <v>13</v>
      </c>
      <c r="K176" s="53" t="s">
        <v>1398</v>
      </c>
      <c r="L176" s="53">
        <v>100</v>
      </c>
      <c r="M176" s="53" t="s">
        <v>1398</v>
      </c>
      <c r="N176" s="53">
        <v>13</v>
      </c>
      <c r="O176" s="54" t="s">
        <v>1398</v>
      </c>
      <c r="P176" s="127" t="s">
        <v>532</v>
      </c>
    </row>
    <row r="177" spans="1:18" ht="15">
      <c r="A177" s="19" t="s">
        <v>1313</v>
      </c>
      <c r="B177" s="29" t="s">
        <v>982</v>
      </c>
      <c r="C177" s="29" t="s">
        <v>1080</v>
      </c>
      <c r="D177" s="19" t="s">
        <v>966</v>
      </c>
      <c r="E177" s="19">
        <v>2004</v>
      </c>
      <c r="F177" s="19" t="s">
        <v>1046</v>
      </c>
      <c r="G177" s="19" t="s">
        <v>1046</v>
      </c>
      <c r="H177" s="27" t="s">
        <v>1317</v>
      </c>
      <c r="I177" s="48" t="s">
        <v>1434</v>
      </c>
      <c r="J177" s="53">
        <v>86</v>
      </c>
      <c r="K177" s="53" t="s">
        <v>1398</v>
      </c>
      <c r="L177" s="53">
        <v>40</v>
      </c>
      <c r="M177" s="53" t="s">
        <v>1398</v>
      </c>
      <c r="N177" s="53">
        <v>34</v>
      </c>
      <c r="O177" s="54" t="s">
        <v>1398</v>
      </c>
      <c r="P177" s="127" t="s">
        <v>181</v>
      </c>
    </row>
    <row r="178" spans="1:18" s="58" customFormat="1" ht="16" thickBot="1">
      <c r="A178" s="19" t="s">
        <v>1313</v>
      </c>
      <c r="B178" s="29" t="s">
        <v>982</v>
      </c>
      <c r="C178" s="29" t="s">
        <v>1080</v>
      </c>
      <c r="D178" s="19" t="s">
        <v>966</v>
      </c>
      <c r="E178" s="19">
        <v>2004</v>
      </c>
      <c r="F178" s="19" t="s">
        <v>1046</v>
      </c>
      <c r="G178" s="19" t="s">
        <v>1046</v>
      </c>
      <c r="H178" s="27" t="s">
        <v>1317</v>
      </c>
      <c r="I178" s="49" t="s">
        <v>1424</v>
      </c>
      <c r="J178" s="99">
        <f>SUM(J176:J177)</f>
        <v>99</v>
      </c>
      <c r="K178" s="99" t="s">
        <v>1398</v>
      </c>
      <c r="L178" s="99">
        <f>AVERAGE(L176:L177)</f>
        <v>70</v>
      </c>
      <c r="M178" s="99" t="s">
        <v>1398</v>
      </c>
      <c r="N178" s="99">
        <f>SUM(N176:N177)</f>
        <v>47</v>
      </c>
      <c r="O178" s="100" t="s">
        <v>1398</v>
      </c>
      <c r="P178" s="30" t="s">
        <v>532</v>
      </c>
    </row>
    <row r="179" spans="1:18" s="58" customFormat="1">
      <c r="A179" s="3"/>
      <c r="B179" s="5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8">
      <c r="A180" s="296"/>
      <c r="B180" s="296"/>
      <c r="C180" s="296"/>
      <c r="D180" s="296"/>
      <c r="E180" s="296"/>
      <c r="F180" s="296"/>
      <c r="G180" s="296"/>
      <c r="H180" s="296"/>
      <c r="I180" s="296"/>
      <c r="J180" s="301"/>
      <c r="K180" s="301"/>
      <c r="L180" s="301"/>
      <c r="M180" s="301"/>
      <c r="N180" s="301"/>
      <c r="O180" s="301"/>
      <c r="P180" s="296"/>
    </row>
    <row r="182" spans="1:18" ht="15">
      <c r="A182" s="19" t="s">
        <v>1504</v>
      </c>
      <c r="B182" s="29" t="s">
        <v>1505</v>
      </c>
      <c r="C182" s="29" t="s">
        <v>1506</v>
      </c>
      <c r="D182" s="19" t="s">
        <v>1507</v>
      </c>
      <c r="E182" s="19">
        <v>2006</v>
      </c>
      <c r="F182" s="19">
        <v>3</v>
      </c>
      <c r="G182" s="72">
        <v>6</v>
      </c>
      <c r="H182" s="19" t="s">
        <v>1310</v>
      </c>
      <c r="I182" s="19" t="s">
        <v>1397</v>
      </c>
      <c r="J182" s="22" t="s">
        <v>986</v>
      </c>
      <c r="K182" s="22" t="s">
        <v>986</v>
      </c>
      <c r="L182" s="22" t="s">
        <v>986</v>
      </c>
      <c r="M182" s="22" t="s">
        <v>986</v>
      </c>
      <c r="N182" s="75">
        <v>7.9220779220779214</v>
      </c>
      <c r="O182" s="22" t="s">
        <v>986</v>
      </c>
      <c r="P182" s="19" t="s">
        <v>53</v>
      </c>
      <c r="Q182" s="26"/>
      <c r="R182" s="26"/>
    </row>
    <row r="183" spans="1:18" ht="15">
      <c r="A183" s="19" t="s">
        <v>1504</v>
      </c>
      <c r="B183" s="29" t="s">
        <v>1505</v>
      </c>
      <c r="C183" s="29" t="s">
        <v>1506</v>
      </c>
      <c r="D183" s="19" t="s">
        <v>1507</v>
      </c>
      <c r="E183" s="19">
        <v>2006</v>
      </c>
      <c r="F183" s="19">
        <v>3</v>
      </c>
      <c r="G183" s="72">
        <v>6</v>
      </c>
      <c r="H183" s="19" t="s">
        <v>1310</v>
      </c>
      <c r="I183" s="19" t="s">
        <v>1717</v>
      </c>
      <c r="J183" s="22" t="s">
        <v>986</v>
      </c>
      <c r="K183" s="22" t="s">
        <v>986</v>
      </c>
      <c r="L183" s="22" t="s">
        <v>986</v>
      </c>
      <c r="M183" s="22" t="s">
        <v>986</v>
      </c>
      <c r="N183" s="75">
        <v>22.972972972972965</v>
      </c>
      <c r="O183" s="22" t="s">
        <v>986</v>
      </c>
      <c r="P183" s="19" t="s">
        <v>53</v>
      </c>
      <c r="Q183" s="26"/>
      <c r="R183" s="26"/>
    </row>
    <row r="184" spans="1:18" ht="15">
      <c r="A184" s="19" t="s">
        <v>1504</v>
      </c>
      <c r="B184" s="29" t="s">
        <v>1505</v>
      </c>
      <c r="C184" s="29" t="s">
        <v>1506</v>
      </c>
      <c r="D184" s="19" t="s">
        <v>1507</v>
      </c>
      <c r="E184" s="19">
        <v>2006</v>
      </c>
      <c r="F184" s="19">
        <v>3</v>
      </c>
      <c r="G184" s="72">
        <v>17</v>
      </c>
      <c r="H184" s="19" t="s">
        <v>1310</v>
      </c>
      <c r="I184" s="19" t="s">
        <v>1397</v>
      </c>
      <c r="J184" s="22" t="s">
        <v>986</v>
      </c>
      <c r="K184" s="22" t="s">
        <v>986</v>
      </c>
      <c r="L184" s="22" t="s">
        <v>986</v>
      </c>
      <c r="M184" s="22" t="s">
        <v>986</v>
      </c>
      <c r="N184" s="75">
        <v>6.5315315315315319</v>
      </c>
      <c r="O184" s="22" t="s">
        <v>986</v>
      </c>
      <c r="P184" s="19" t="s">
        <v>53</v>
      </c>
      <c r="Q184" s="26"/>
      <c r="R184" s="26"/>
    </row>
    <row r="185" spans="1:18" ht="16" thickBot="1">
      <c r="A185" s="19" t="s">
        <v>1504</v>
      </c>
      <c r="B185" s="29" t="s">
        <v>1505</v>
      </c>
      <c r="C185" s="29" t="s">
        <v>1506</v>
      </c>
      <c r="D185" s="19" t="s">
        <v>1507</v>
      </c>
      <c r="E185" s="19">
        <v>2006</v>
      </c>
      <c r="F185" s="19">
        <v>3</v>
      </c>
      <c r="G185" s="72">
        <v>18</v>
      </c>
      <c r="H185" s="19" t="s">
        <v>1310</v>
      </c>
      <c r="I185" s="38" t="s">
        <v>1398</v>
      </c>
      <c r="J185" s="45" t="s">
        <v>986</v>
      </c>
      <c r="K185" s="45" t="s">
        <v>986</v>
      </c>
      <c r="L185" s="45" t="s">
        <v>986</v>
      </c>
      <c r="M185" s="45" t="s">
        <v>986</v>
      </c>
      <c r="N185" s="93">
        <v>32.095588235294123</v>
      </c>
      <c r="O185" s="45" t="s">
        <v>986</v>
      </c>
      <c r="P185" s="19" t="s">
        <v>53</v>
      </c>
      <c r="Q185" s="26"/>
      <c r="R185" s="26"/>
    </row>
    <row r="186" spans="1:18" ht="16" thickBot="1">
      <c r="A186" s="3"/>
      <c r="B186" s="5"/>
      <c r="C186" s="5"/>
      <c r="D186" s="3"/>
      <c r="E186" s="3"/>
      <c r="F186" s="3"/>
      <c r="G186" s="65"/>
      <c r="H186" s="3"/>
      <c r="I186" s="90" t="s">
        <v>1203</v>
      </c>
      <c r="J186" s="67" t="s">
        <v>253</v>
      </c>
      <c r="K186" s="67" t="s">
        <v>253</v>
      </c>
      <c r="L186" s="67" t="s">
        <v>253</v>
      </c>
      <c r="M186" s="67" t="s">
        <v>253</v>
      </c>
      <c r="N186" s="94">
        <f>ROUND(AVERAGE(N182:N185),1)</f>
        <v>17.399999999999999</v>
      </c>
      <c r="O186" s="68">
        <f>ROUND(STDEV(N182:N185),1)</f>
        <v>12.3</v>
      </c>
      <c r="P186" s="3"/>
      <c r="Q186" s="26"/>
      <c r="R186" s="26"/>
    </row>
    <row r="188" spans="1:18" s="58" customFormat="1">
      <c r="A188" s="3"/>
      <c r="B188" s="5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8">
      <c r="A189" s="296"/>
      <c r="B189" s="296"/>
      <c r="C189" s="296"/>
      <c r="D189" s="296"/>
      <c r="E189" s="296"/>
      <c r="F189" s="296"/>
      <c r="G189" s="296"/>
      <c r="H189" s="296"/>
      <c r="I189" s="296"/>
      <c r="J189" s="301"/>
      <c r="K189" s="301"/>
      <c r="L189" s="301"/>
      <c r="M189" s="301"/>
      <c r="N189" s="301"/>
      <c r="O189" s="301"/>
      <c r="P189" s="296"/>
    </row>
    <row r="190" spans="1:18" s="1" customFormat="1">
      <c r="A190" s="3"/>
      <c r="B190" s="5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8" s="1" customFormat="1">
      <c r="A191" s="325"/>
      <c r="B191" s="331"/>
      <c r="C191" s="331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</row>
    <row r="192" spans="1:18" s="1" customFormat="1">
      <c r="A192" s="3"/>
      <c r="B192" s="5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7" s="26" customFormat="1">
      <c r="A193" s="19" t="s">
        <v>1121</v>
      </c>
      <c r="B193" s="29" t="s">
        <v>1122</v>
      </c>
      <c r="C193" s="29" t="s">
        <v>1186</v>
      </c>
      <c r="D193" s="19" t="s">
        <v>1187</v>
      </c>
      <c r="E193" s="19" t="s">
        <v>253</v>
      </c>
      <c r="F193" s="19" t="s">
        <v>253</v>
      </c>
      <c r="G193" s="19" t="s">
        <v>253</v>
      </c>
      <c r="H193" s="19" t="s">
        <v>1047</v>
      </c>
      <c r="I193" s="19" t="s">
        <v>253</v>
      </c>
      <c r="J193" s="22">
        <v>75</v>
      </c>
      <c r="K193" s="22" t="s">
        <v>253</v>
      </c>
      <c r="L193" s="22" t="s">
        <v>253</v>
      </c>
      <c r="M193" s="22" t="s">
        <v>253</v>
      </c>
      <c r="N193" s="22" t="s">
        <v>253</v>
      </c>
      <c r="O193" s="22" t="s">
        <v>253</v>
      </c>
      <c r="P193" s="19" t="s">
        <v>253</v>
      </c>
    </row>
    <row r="194" spans="1:17" s="26" customFormat="1" ht="14" thickBot="1">
      <c r="A194" s="19" t="s">
        <v>1121</v>
      </c>
      <c r="B194" s="29" t="s">
        <v>1122</v>
      </c>
      <c r="C194" s="29" t="s">
        <v>1186</v>
      </c>
      <c r="D194" s="19" t="s">
        <v>1187</v>
      </c>
      <c r="E194" s="19" t="s">
        <v>253</v>
      </c>
      <c r="F194" s="19" t="s">
        <v>253</v>
      </c>
      <c r="G194" s="19" t="s">
        <v>253</v>
      </c>
      <c r="H194" s="19" t="s">
        <v>1047</v>
      </c>
      <c r="I194" s="38" t="s">
        <v>253</v>
      </c>
      <c r="J194" s="45">
        <v>90</v>
      </c>
      <c r="K194" s="45" t="s">
        <v>253</v>
      </c>
      <c r="L194" s="45" t="s">
        <v>253</v>
      </c>
      <c r="M194" s="45" t="s">
        <v>253</v>
      </c>
      <c r="N194" s="45" t="s">
        <v>253</v>
      </c>
      <c r="O194" s="45" t="s">
        <v>253</v>
      </c>
      <c r="P194" s="19" t="s">
        <v>253</v>
      </c>
    </row>
    <row r="195" spans="1:17" s="26" customFormat="1" ht="14" thickBot="1">
      <c r="A195" s="3"/>
      <c r="B195" s="5"/>
      <c r="C195" s="5"/>
      <c r="D195" s="3"/>
      <c r="E195" s="3"/>
      <c r="F195" s="3"/>
      <c r="G195" s="3"/>
      <c r="H195" s="3"/>
      <c r="I195" s="113" t="s">
        <v>1034</v>
      </c>
      <c r="J195" s="70">
        <f>AVERAGE(J193:J194)</f>
        <v>82.5</v>
      </c>
      <c r="K195" s="70" t="s">
        <v>253</v>
      </c>
      <c r="L195" s="70" t="s">
        <v>253</v>
      </c>
      <c r="M195" s="70" t="s">
        <v>253</v>
      </c>
      <c r="N195" s="70" t="s">
        <v>253</v>
      </c>
      <c r="O195" s="71" t="s">
        <v>253</v>
      </c>
      <c r="P195" s="3"/>
    </row>
    <row r="196" spans="1:17" s="1" customFormat="1">
      <c r="A196" s="3"/>
      <c r="B196" s="5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7" s="58" customFormat="1">
      <c r="A197" s="325"/>
      <c r="B197" s="331"/>
      <c r="C197" s="331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</row>
    <row r="198" spans="1:17" s="58" customFormat="1" ht="14" thickBot="1">
      <c r="A198" s="3"/>
      <c r="B198" s="5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7" s="102" customFormat="1" ht="16" thickBot="1">
      <c r="A199" s="128" t="s">
        <v>967</v>
      </c>
      <c r="B199" s="129" t="s">
        <v>968</v>
      </c>
      <c r="C199" s="129" t="s">
        <v>969</v>
      </c>
      <c r="D199" s="128" t="s">
        <v>970</v>
      </c>
      <c r="E199" s="75" t="s">
        <v>986</v>
      </c>
      <c r="F199" s="75" t="s">
        <v>986</v>
      </c>
      <c r="G199" s="75" t="s">
        <v>986</v>
      </c>
      <c r="H199" s="132" t="s">
        <v>997</v>
      </c>
      <c r="I199" s="134" t="s">
        <v>1417</v>
      </c>
      <c r="J199" s="135">
        <v>17.5</v>
      </c>
      <c r="K199" s="94" t="s">
        <v>253</v>
      </c>
      <c r="L199" s="94" t="s">
        <v>253</v>
      </c>
      <c r="M199" s="94" t="s">
        <v>253</v>
      </c>
      <c r="N199" s="94" t="s">
        <v>253</v>
      </c>
      <c r="O199" s="95" t="s">
        <v>253</v>
      </c>
      <c r="P199" s="133" t="s">
        <v>971</v>
      </c>
      <c r="Q199" s="101"/>
    </row>
    <row r="200" spans="1:17" s="108" customFormat="1" ht="15">
      <c r="A200" s="103"/>
      <c r="B200" s="104"/>
      <c r="C200" s="104"/>
      <c r="D200" s="103"/>
      <c r="E200" s="105"/>
      <c r="F200" s="105"/>
      <c r="G200" s="105"/>
      <c r="H200" s="106"/>
      <c r="I200" s="106"/>
      <c r="J200" s="104"/>
      <c r="K200" s="105"/>
      <c r="L200" s="105"/>
      <c r="M200" s="105"/>
      <c r="N200" s="105"/>
      <c r="O200" s="105"/>
      <c r="P200" s="107"/>
      <c r="Q200" s="101"/>
    </row>
    <row r="201" spans="1:17" s="108" customFormat="1" ht="15">
      <c r="A201" s="314"/>
      <c r="B201" s="313"/>
      <c r="C201" s="313"/>
      <c r="D201" s="314"/>
      <c r="E201" s="318"/>
      <c r="F201" s="318"/>
      <c r="G201" s="318"/>
      <c r="H201" s="316"/>
      <c r="I201" s="316"/>
      <c r="J201" s="313"/>
      <c r="K201" s="318"/>
      <c r="L201" s="318"/>
      <c r="M201" s="318"/>
      <c r="N201" s="318"/>
      <c r="O201" s="318"/>
      <c r="P201" s="319"/>
      <c r="Q201" s="101"/>
    </row>
    <row r="202" spans="1:17" s="108" customFormat="1" ht="15">
      <c r="A202" s="103"/>
      <c r="B202" s="104"/>
      <c r="C202" s="104"/>
      <c r="D202" s="103"/>
      <c r="E202" s="105"/>
      <c r="F202" s="105"/>
      <c r="G202" s="105"/>
      <c r="H202" s="106"/>
      <c r="I202" s="106"/>
      <c r="J202" s="104"/>
      <c r="K202" s="105"/>
      <c r="L202" s="105"/>
      <c r="M202" s="105"/>
      <c r="N202" s="105"/>
      <c r="O202" s="105"/>
      <c r="P202" s="107"/>
      <c r="Q202" s="101"/>
    </row>
    <row r="204" spans="1:17" ht="14" thickBot="1"/>
    <row r="205" spans="1:17" ht="14" thickBot="1">
      <c r="A205" s="537" t="s">
        <v>2090</v>
      </c>
      <c r="B205" s="538"/>
      <c r="C205" s="538"/>
      <c r="D205" s="539"/>
      <c r="I205" s="647" t="s">
        <v>2178</v>
      </c>
      <c r="J205" s="570">
        <f>ROUND(AVERAGE(J2,J43,J73,J85,J112,J154,J178,J175,J172,J169,J166,J163,J160,J186,J45,J50,J56,J62,J123,J129,J135,J143,J150),1)</f>
        <v>115.4</v>
      </c>
      <c r="K205" s="570">
        <f>ROUND(STDEV(J2,J43,J73,J85,J112,J154,J178,J175,J172,J169,J166,J163,J160,J186,J45,J50,J56,J62,J123,J129,J135,J143,J150),1)</f>
        <v>144.19999999999999</v>
      </c>
      <c r="L205" s="570">
        <f>ROUND(AVERAGE(L2,L43,L73,L85,L112,L154,L178,L175,L172,L169,L166,L163,L160,L186,L45,L50,L56,L62,L123,L129,L135,L143,L150),1)</f>
        <v>61.1</v>
      </c>
      <c r="M205" s="570">
        <f>ROUND(STDEV(L2,L43,L73,L85,L112,L154,L178,L175,L172,L169,L166,L163,L160,L186,L45,L50,L56,L62,L123,L129,L135,L143,L150),1)</f>
        <v>18.2</v>
      </c>
      <c r="N205" s="570">
        <f>ROUND(AVERAGE(N2,N43,N73,N85,N112,N154,N178,N175,N172,N169,N166,N163,N160,N186,N45,N50,N56,N62,N123,N129,N135,N143,N150),1)</f>
        <v>57.8</v>
      </c>
      <c r="O205" s="578">
        <f>ROUND(STDEV(N2,N43,N73,N85,N112,N154,N178,N175,N172,N169,N166,N163,N160,N186,N45,N50,N56,N62,N123,N129,N135,N143,N150),1)</f>
        <v>71.7</v>
      </c>
    </row>
    <row r="206" spans="1:17" ht="14" thickBot="1">
      <c r="A206" s="611" t="s">
        <v>2065</v>
      </c>
      <c r="B206" s="612"/>
      <c r="C206" s="612"/>
      <c r="D206" s="542"/>
      <c r="I206" s="356" t="s">
        <v>227</v>
      </c>
      <c r="J206" s="571">
        <f>ROUND(AVERAGE(J2,J43,J73,J85,J112,J45,J50,J56,J62,J123,J129,J135,J143,J150),1)</f>
        <v>82.5</v>
      </c>
      <c r="K206" s="571">
        <f>ROUND(STDEV(J2,J43,J73,J85,J112,J45,J50,J56,J62,J123,J129,J135,J143,J150),1)</f>
        <v>81.8</v>
      </c>
      <c r="L206" s="571">
        <f>ROUND(AVERAGE(L2,L43,L73,L85,L112,L45,L50,L56,L62,L123,L129,L135,L143,L150),1)</f>
        <v>56.1</v>
      </c>
      <c r="M206" s="571">
        <f>ROUND(STDEV(L2,L43,L73,L85,L112,L45,L50,L56,L62,L123,L129,L135,L143,L150),1)</f>
        <v>20.8</v>
      </c>
      <c r="N206" s="571">
        <f>ROUND(AVERAGE(N2,N43,N73,N85,N112,N45,N50,N56,N62,N123,N129,N135,N143,N150),1)</f>
        <v>49.3</v>
      </c>
      <c r="O206" s="579">
        <f>ROUND(STDEV(N2,N43,N73,N85,N112,N45,N50,N56,N62,N123,N129,N135,N143,N150),1)</f>
        <v>61.9</v>
      </c>
    </row>
    <row r="207" spans="1:17">
      <c r="I207" s="356" t="s">
        <v>84</v>
      </c>
      <c r="J207" s="571">
        <f>ROUND(AVERAGE(J154,J178,J175,J172,J169,J166,J163,J160),1)</f>
        <v>160.5</v>
      </c>
      <c r="K207" s="571">
        <f>ROUND(STDEV(J154,J178,J175,J172,J169,J166,J163,J160),1)</f>
        <v>199.7</v>
      </c>
      <c r="L207" s="571">
        <f>ROUND(AVERAGE(L154,L178,L175,L172,L169,L166,L163,L160),1)</f>
        <v>68.099999999999994</v>
      </c>
      <c r="M207" s="571">
        <f>ROUND(STDEV(L154,L178,L175,L172,L169,L166,L163,L160),1)</f>
        <v>12</v>
      </c>
      <c r="N207" s="571">
        <f>ROUND(AVERAGE(N154,N178,N175,N172,N169,N166,N163,N160),1)</f>
        <v>77.7</v>
      </c>
      <c r="O207" s="579">
        <f>ROUND(STDEV(N154,N178,N175,N172,N169,N166,N163,N160),1)</f>
        <v>90.5</v>
      </c>
    </row>
    <row r="208" spans="1:17">
      <c r="I208" s="356" t="s">
        <v>1861</v>
      </c>
      <c r="J208" s="571" t="s">
        <v>220</v>
      </c>
      <c r="K208" s="571" t="s">
        <v>220</v>
      </c>
      <c r="L208" s="571" t="s">
        <v>220</v>
      </c>
      <c r="M208" s="571" t="s">
        <v>220</v>
      </c>
      <c r="N208" s="571">
        <v>17.399999999999999</v>
      </c>
      <c r="O208" s="579">
        <v>12.3</v>
      </c>
    </row>
    <row r="209" spans="9:15">
      <c r="I209" s="356" t="s">
        <v>85</v>
      </c>
      <c r="J209" s="571">
        <f>ROUND(AVERAGE(J2,J43,J73,J85,J112,J154,J45,J50,J56,J62,J123,J129,J135,J143,J150,J186),1)</f>
        <v>82.3</v>
      </c>
      <c r="K209" s="571">
        <f>ROUND(STDEV(J2,J43,J73,J85,J112,J154,J45,J50,J56,J62,J123,J129,J135,J143,J150,J186),1)</f>
        <v>78</v>
      </c>
      <c r="L209" s="571">
        <f>ROUND(AVERAGE(L2,L43,L73,L85,L112,L154,L45,L50,L56,L62,L123,L129,L135,L143,L150,L186),1)</f>
        <v>58.4</v>
      </c>
      <c r="M209" s="571">
        <f>ROUND(STDEV(L2,L43,L73,L85,L112,L154,L45,L50,L56,L62,L123,L129,L135,L143,L150,L186),1)</f>
        <v>21.4</v>
      </c>
      <c r="N209" s="571">
        <f>ROUND(AVERAGE(N2,N43,N73,N85,N112,N154,N45,N50,N56,N62,N123,N129,N135,N143,N150,N186),1)</f>
        <v>48.4</v>
      </c>
      <c r="O209" s="579">
        <f>ROUND(STDEV(N2,N43,N73,N85,N112,N154,N45,N50,N56,N62,N123,N129,N135,N143,N150,N186),1)</f>
        <v>58.4</v>
      </c>
    </row>
    <row r="210" spans="9:15" ht="14" thickBot="1">
      <c r="I210" s="359" t="s">
        <v>86</v>
      </c>
      <c r="J210" s="569">
        <f>ROUND(AVERAGE(J160,J163,J166,J169,J172,J175,J178),1)</f>
        <v>172.1</v>
      </c>
      <c r="K210" s="569">
        <f>ROUND(STDEV(J160,J163,J166,J169,J172,J175,J178),1)</f>
        <v>212.8</v>
      </c>
      <c r="L210" s="569">
        <f>ROUND(AVERAGE(L160,L163,L166,L169,L172,L175,L178),1)</f>
        <v>65.8</v>
      </c>
      <c r="M210" s="569">
        <f>ROUND(STDEV(L160,L163,L166,L169,L172,L175,L178),1)</f>
        <v>10.9</v>
      </c>
      <c r="N210" s="569">
        <f>ROUND(AVERAGE(N160,N163,N166,N169,N172,N175,N178),1)</f>
        <v>79.3</v>
      </c>
      <c r="O210" s="580">
        <f>ROUND(STDEV(N160,N163,N166,N169,N172,N175,N178),1)</f>
        <v>97.6</v>
      </c>
    </row>
    <row r="211" spans="9:15" ht="14" thickBot="1">
      <c r="I211" s="60"/>
      <c r="J211" s="80"/>
      <c r="K211" s="80"/>
      <c r="L211" s="80"/>
      <c r="M211" s="80"/>
      <c r="N211" s="80"/>
      <c r="O211" s="80"/>
    </row>
    <row r="212" spans="9:15" ht="14" thickBot="1">
      <c r="I212" s="645" t="s">
        <v>2177</v>
      </c>
      <c r="J212" s="440">
        <f>ROUND(AVERAGE(J2,J43,J73,J85,J112,J154,J178,J175,J172,J169,J166,J163,J160,J186,J45,J50,J56,J62,J123,J129,J135,J143,J150,J195,J199),1)</f>
        <v>109.1</v>
      </c>
      <c r="K212" s="440">
        <f>ROUND(STDEV(J2,J43,J73,J85,J112,J154,J178,J175,J172,J169,J166,J163,J160,J186,J45,J50,J56,J62,J123,J129,J135,J143,J150,J195,J199),1)</f>
        <v>138.6</v>
      </c>
      <c r="L212" s="440">
        <f>L205</f>
        <v>61.1</v>
      </c>
      <c r="M212" s="440">
        <f t="shared" ref="M212:O212" si="15">M205</f>
        <v>18.2</v>
      </c>
      <c r="N212" s="440">
        <f t="shared" si="15"/>
        <v>57.8</v>
      </c>
      <c r="O212" s="441">
        <f t="shared" si="15"/>
        <v>71.7</v>
      </c>
    </row>
    <row r="213" spans="9:15" ht="14" thickBot="1">
      <c r="I213" s="60"/>
      <c r="J213" s="80"/>
      <c r="K213" s="80"/>
      <c r="L213" s="80"/>
      <c r="M213" s="80"/>
      <c r="N213" s="80"/>
      <c r="O213" s="80"/>
    </row>
    <row r="214" spans="9:15">
      <c r="I214" s="413" t="s">
        <v>2051</v>
      </c>
      <c r="J214" s="414">
        <f>ROUND(AVERAGE(J38,J83,J110),1)</f>
        <v>20.100000000000001</v>
      </c>
      <c r="K214" s="414">
        <f>ROUND(STDEV(J38,J83,J110),1)</f>
        <v>10.5</v>
      </c>
      <c r="L214" s="414">
        <f>ROUND(AVERAGE(L38,L83,L110),1)</f>
        <v>80.7</v>
      </c>
      <c r="M214" s="414">
        <f>ROUND(STDEV(L38,L83,L110),1)</f>
        <v>8.9</v>
      </c>
      <c r="N214" s="414">
        <f>ROUND(AVERAGE(N38,N83,N110),1)</f>
        <v>16.600000000000001</v>
      </c>
      <c r="O214" s="414">
        <f>ROUND(STDEV(N38,N83,N110),1)</f>
        <v>9.9</v>
      </c>
    </row>
    <row r="215" spans="9:15">
      <c r="I215" s="581" t="s">
        <v>2143</v>
      </c>
      <c r="J215" s="371">
        <f>ROUND(AVERAGE(J39,J82,J111,J45,J50,J56),1)</f>
        <v>48.6</v>
      </c>
      <c r="K215" s="371">
        <f>ROUND(STDEV(J39,J82,J111,J45,J50,J56),1)</f>
        <v>37.1</v>
      </c>
      <c r="L215" s="371">
        <f>ROUND(AVERAGE(L39,L82,L111,L45,L50,L56),1)</f>
        <v>47.9</v>
      </c>
      <c r="M215" s="371">
        <f>ROUND(STDEV(L39,L82,L111,L45,L50,L56),1)</f>
        <v>43.7</v>
      </c>
      <c r="N215" s="371">
        <f>ROUND(AVERAGE(N39,N82,N111,N45,N50,N56),1)</f>
        <v>24.8</v>
      </c>
      <c r="O215" s="371">
        <f>ROUND(STDEV(N39,N82,N111,N45,N50,N56),1)</f>
        <v>31.4</v>
      </c>
    </row>
    <row r="216" spans="9:15">
      <c r="I216" s="416" t="s">
        <v>1914</v>
      </c>
      <c r="J216" s="371">
        <f>ROUND(AVERAGE(J66,J77,J105),1)</f>
        <v>1.2</v>
      </c>
      <c r="K216" s="371">
        <f>ROUND(STDEV(J66,J77,J105),1)</f>
        <v>0.8</v>
      </c>
      <c r="L216" s="371">
        <f>ROUND(AVERAGE(L66,L77,L105),1)</f>
        <v>87</v>
      </c>
      <c r="M216" s="371">
        <f>ROUND(STDEV(L66,L77,L105),1)</f>
        <v>11.1</v>
      </c>
      <c r="N216" s="371">
        <f>ROUND(AVERAGE(N66,N77,N105),1)</f>
        <v>1</v>
      </c>
      <c r="O216" s="372">
        <f>ROUND(STDEV(N66,N77,N105),1)</f>
        <v>0.6</v>
      </c>
    </row>
    <row r="217" spans="9:15">
      <c r="I217" s="416" t="s">
        <v>1916</v>
      </c>
      <c r="J217" s="371">
        <f>ROUND(AVERAGE(J67,J78,J106),1)</f>
        <v>5.2</v>
      </c>
      <c r="K217" s="371">
        <f>ROUND(STDEV(J67,J78,J106),1)</f>
        <v>1.9</v>
      </c>
      <c r="L217" s="371">
        <f>ROUND(AVERAGE(L67,L78,L106),1)</f>
        <v>79.3</v>
      </c>
      <c r="M217" s="371">
        <f>ROUND(STDEV(L67,L78,L106),1)</f>
        <v>10.6</v>
      </c>
      <c r="N217" s="371">
        <f>ROUND(AVERAGE(N67,N78,N106),1)</f>
        <v>4</v>
      </c>
      <c r="O217" s="372">
        <f>ROUND(STDEV(N67,N78,N106),1)</f>
        <v>1.2</v>
      </c>
    </row>
    <row r="218" spans="9:15">
      <c r="I218" s="416" t="s">
        <v>2011</v>
      </c>
      <c r="J218" s="371">
        <f>ROUND(AVERAGE(J68,J79,J107),1)</f>
        <v>6</v>
      </c>
      <c r="K218" s="371">
        <f>ROUND(STDEV(J68,J79,J107),1)</f>
        <v>0.9</v>
      </c>
      <c r="L218" s="371">
        <f>ROUND(AVERAGE(L68,L79,L107),1)</f>
        <v>72.599999999999994</v>
      </c>
      <c r="M218" s="371">
        <f>ROUND(STDEV(L68,L79,L107),1)</f>
        <v>13.6</v>
      </c>
      <c r="N218" s="371">
        <f>ROUND(AVERAGE(N68,N79,N107),1)</f>
        <v>4.3</v>
      </c>
      <c r="O218" s="372">
        <f>ROUND(STDEV(N68,N79,N107),1)</f>
        <v>0.2</v>
      </c>
    </row>
    <row r="219" spans="9:15">
      <c r="I219" s="417" t="s">
        <v>1835</v>
      </c>
      <c r="J219" s="371">
        <f>ROUND(AVERAGE(J69,J80,J108),1)</f>
        <v>16.399999999999999</v>
      </c>
      <c r="K219" s="371">
        <f>ROUND(STDEV(J69,J80,J108),1)</f>
        <v>9.6</v>
      </c>
      <c r="L219" s="371">
        <f>ROUND(AVERAGE(L69,L80,L108),1)</f>
        <v>38.1</v>
      </c>
      <c r="M219" s="371">
        <f>ROUND(STDEV(L69,L80,L108),1)</f>
        <v>41.5</v>
      </c>
      <c r="N219" s="371">
        <f>ROUND(AVERAGE(N69,N80,N108),1)</f>
        <v>6.2</v>
      </c>
      <c r="O219" s="418">
        <f>ROUND(STDEV(N69,N80,N108),1)</f>
        <v>8.1999999999999993</v>
      </c>
    </row>
    <row r="220" spans="9:15" ht="14" thickBot="1">
      <c r="I220" s="388" t="s">
        <v>1834</v>
      </c>
      <c r="J220" s="373">
        <f>ROUND(AVERAGE(J70,J81,J109),1)</f>
        <v>20.3</v>
      </c>
      <c r="K220" s="373">
        <f>ROUND(STDEV(J70,J81,J109),1)</f>
        <v>4.0999999999999996</v>
      </c>
      <c r="L220" s="373">
        <f>ROUND(AVERAGE(L70,L81,L109),1)</f>
        <v>96.4</v>
      </c>
      <c r="M220" s="373">
        <f>ROUND(STDEV(L70,L81,L109),1)</f>
        <v>5.4</v>
      </c>
      <c r="N220" s="373">
        <f>ROUND(AVERAGE(N70,N81,N109),1)</f>
        <v>19.7</v>
      </c>
      <c r="O220" s="374">
        <f>ROUND(STDEV(N70,N81,N109),1)</f>
        <v>4.8</v>
      </c>
    </row>
  </sheetData>
  <phoneticPr fontId="17" type="noConversion"/>
  <pageMargins left="0.75" right="0.75" top="1" bottom="1" header="0.5" footer="0.5"/>
  <pageSetup paperSize="9" orientation="portrait" horizontalDpi="4294967292" verticalDpi="4294967292"/>
  <ignoredErrors>
    <ignoredError sqref="K208:M208 O208 N208 N216:N220 K214:M214 O214 N210:N211 K216:M220 O216:O220 O210:O211 K210:M21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481"/>
  <sheetViews>
    <sheetView workbookViewId="0">
      <pane xSplit="9" ySplit="1" topLeftCell="J444" activePane="bottomRight" state="frozen"/>
      <selection pane="topRight" activeCell="J1" sqref="J1"/>
      <selection pane="bottomLeft" activeCell="A2" sqref="A2"/>
      <selection pane="bottomRight" activeCell="L389" sqref="L389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4" s="7" customFormat="1" ht="32" customHeigh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>
      <c r="A2" s="19" t="s">
        <v>921</v>
      </c>
      <c r="B2" s="29" t="s">
        <v>922</v>
      </c>
      <c r="C2" s="29" t="s">
        <v>1063</v>
      </c>
      <c r="D2" s="19" t="s">
        <v>1066</v>
      </c>
      <c r="E2" s="19">
        <v>1978</v>
      </c>
      <c r="F2" s="19">
        <v>5</v>
      </c>
      <c r="G2" s="19">
        <v>23</v>
      </c>
      <c r="H2" s="19" t="s">
        <v>1047</v>
      </c>
      <c r="I2" s="19" t="s">
        <v>351</v>
      </c>
      <c r="J2" s="83" t="s">
        <v>253</v>
      </c>
      <c r="K2" s="83" t="s">
        <v>253</v>
      </c>
      <c r="L2" s="83" t="s">
        <v>253</v>
      </c>
      <c r="M2" s="83" t="s">
        <v>253</v>
      </c>
      <c r="N2" s="83">
        <v>12.92</v>
      </c>
      <c r="O2" s="83" t="s">
        <v>253</v>
      </c>
      <c r="P2" s="19" t="s">
        <v>814</v>
      </c>
    </row>
    <row r="3" spans="1:124">
      <c r="A3" s="19"/>
      <c r="B3" s="29"/>
      <c r="C3" s="29"/>
      <c r="D3" s="19"/>
      <c r="E3" s="19"/>
      <c r="F3" s="19"/>
      <c r="G3" s="19"/>
      <c r="H3" s="19"/>
      <c r="I3" s="19" t="s">
        <v>613</v>
      </c>
      <c r="J3" s="83" t="s">
        <v>253</v>
      </c>
      <c r="K3" s="83" t="s">
        <v>253</v>
      </c>
      <c r="L3" s="83" t="s">
        <v>253</v>
      </c>
      <c r="M3" s="83" t="s">
        <v>253</v>
      </c>
      <c r="N3" s="83">
        <v>2.4500000000000002</v>
      </c>
      <c r="O3" s="83" t="s">
        <v>253</v>
      </c>
      <c r="P3" s="19" t="s">
        <v>814</v>
      </c>
    </row>
    <row r="4" spans="1:124">
      <c r="A4" s="19"/>
      <c r="B4" s="29"/>
      <c r="C4" s="29"/>
      <c r="D4" s="19"/>
      <c r="E4" s="19"/>
      <c r="F4" s="19"/>
      <c r="G4" s="19"/>
      <c r="H4" s="19"/>
      <c r="I4" s="19" t="s">
        <v>614</v>
      </c>
      <c r="J4" s="83" t="s">
        <v>253</v>
      </c>
      <c r="K4" s="83" t="s">
        <v>253</v>
      </c>
      <c r="L4" s="83" t="s">
        <v>253</v>
      </c>
      <c r="M4" s="83" t="s">
        <v>253</v>
      </c>
      <c r="N4" s="83">
        <v>0.49</v>
      </c>
      <c r="O4" s="83" t="s">
        <v>253</v>
      </c>
      <c r="P4" s="19" t="s">
        <v>814</v>
      </c>
    </row>
    <row r="5" spans="1:124">
      <c r="A5" s="19"/>
      <c r="B5" s="29"/>
      <c r="C5" s="29"/>
      <c r="D5" s="19"/>
      <c r="E5" s="19"/>
      <c r="F5" s="19"/>
      <c r="G5" s="19"/>
      <c r="H5" s="19"/>
      <c r="I5" s="19" t="s">
        <v>615</v>
      </c>
      <c r="J5" s="83" t="s">
        <v>253</v>
      </c>
      <c r="K5" s="83" t="s">
        <v>253</v>
      </c>
      <c r="L5" s="83" t="s">
        <v>253</v>
      </c>
      <c r="M5" s="83" t="s">
        <v>253</v>
      </c>
      <c r="N5" s="83">
        <v>0.44</v>
      </c>
      <c r="O5" s="83" t="s">
        <v>253</v>
      </c>
      <c r="P5" s="19" t="s">
        <v>814</v>
      </c>
    </row>
    <row r="6" spans="1:124">
      <c r="A6" s="19"/>
      <c r="B6" s="29"/>
      <c r="C6" s="29"/>
      <c r="D6" s="19"/>
      <c r="E6" s="19"/>
      <c r="F6" s="19"/>
      <c r="G6" s="19"/>
      <c r="H6" s="19"/>
      <c r="I6" s="19" t="s">
        <v>480</v>
      </c>
      <c r="J6" s="83" t="s">
        <v>253</v>
      </c>
      <c r="K6" s="83" t="s">
        <v>253</v>
      </c>
      <c r="L6" s="83" t="s">
        <v>253</v>
      </c>
      <c r="M6" s="83" t="s">
        <v>253</v>
      </c>
      <c r="N6" s="83">
        <v>16.21</v>
      </c>
      <c r="O6" s="83" t="s">
        <v>253</v>
      </c>
      <c r="P6" s="19" t="s">
        <v>814</v>
      </c>
    </row>
    <row r="7" spans="1:124">
      <c r="A7" s="19"/>
      <c r="B7" s="29"/>
      <c r="C7" s="29"/>
      <c r="D7" s="19"/>
      <c r="E7" s="19"/>
      <c r="F7" s="19"/>
      <c r="G7" s="19"/>
      <c r="H7" s="19"/>
      <c r="I7" s="19" t="s">
        <v>485</v>
      </c>
      <c r="J7" s="83">
        <v>101</v>
      </c>
      <c r="K7" s="83" t="s">
        <v>253</v>
      </c>
      <c r="L7" s="83">
        <v>67</v>
      </c>
      <c r="M7" s="83" t="s">
        <v>253</v>
      </c>
      <c r="N7" s="83">
        <v>32.51</v>
      </c>
      <c r="O7" s="83" t="s">
        <v>253</v>
      </c>
      <c r="P7" s="19" t="s">
        <v>814</v>
      </c>
    </row>
    <row r="8" spans="1:124">
      <c r="A8" s="19" t="s">
        <v>479</v>
      </c>
      <c r="B8" s="29" t="s">
        <v>922</v>
      </c>
      <c r="C8" s="29" t="s">
        <v>1063</v>
      </c>
      <c r="D8" s="19" t="s">
        <v>1066</v>
      </c>
      <c r="E8" s="19">
        <v>1978</v>
      </c>
      <c r="F8" s="19">
        <v>5</v>
      </c>
      <c r="G8" s="19">
        <v>25</v>
      </c>
      <c r="H8" s="19" t="s">
        <v>1047</v>
      </c>
      <c r="I8" s="19" t="s">
        <v>486</v>
      </c>
      <c r="J8" s="83" t="s">
        <v>253</v>
      </c>
      <c r="K8" s="83" t="s">
        <v>253</v>
      </c>
      <c r="L8" s="83" t="s">
        <v>253</v>
      </c>
      <c r="M8" s="83" t="s">
        <v>253</v>
      </c>
      <c r="N8" s="83">
        <v>20.58</v>
      </c>
      <c r="O8" s="83" t="s">
        <v>253</v>
      </c>
      <c r="P8" s="19" t="s">
        <v>487</v>
      </c>
    </row>
    <row r="9" spans="1:124">
      <c r="A9" s="19"/>
      <c r="B9" s="29"/>
      <c r="C9" s="29"/>
      <c r="D9" s="19"/>
      <c r="E9" s="19"/>
      <c r="F9" s="19"/>
      <c r="G9" s="19"/>
      <c r="H9" s="19"/>
      <c r="I9" s="19" t="s">
        <v>613</v>
      </c>
      <c r="J9" s="83" t="s">
        <v>253</v>
      </c>
      <c r="K9" s="83" t="s">
        <v>253</v>
      </c>
      <c r="L9" s="83" t="s">
        <v>253</v>
      </c>
      <c r="M9" s="83" t="s">
        <v>253</v>
      </c>
      <c r="N9" s="83">
        <v>4.93</v>
      </c>
      <c r="O9" s="83" t="s">
        <v>253</v>
      </c>
      <c r="P9" s="19" t="s">
        <v>487</v>
      </c>
    </row>
    <row r="10" spans="1:124">
      <c r="A10" s="19"/>
      <c r="B10" s="29"/>
      <c r="C10" s="29"/>
      <c r="D10" s="19"/>
      <c r="E10" s="19"/>
      <c r="F10" s="19"/>
      <c r="G10" s="19"/>
      <c r="H10" s="19"/>
      <c r="I10" s="19" t="s">
        <v>614</v>
      </c>
      <c r="J10" s="83" t="s">
        <v>253</v>
      </c>
      <c r="K10" s="83" t="s">
        <v>253</v>
      </c>
      <c r="L10" s="83" t="s">
        <v>253</v>
      </c>
      <c r="M10" s="83" t="s">
        <v>253</v>
      </c>
      <c r="N10" s="83">
        <v>0.52</v>
      </c>
      <c r="O10" s="83" t="s">
        <v>253</v>
      </c>
      <c r="P10" s="19" t="s">
        <v>487</v>
      </c>
    </row>
    <row r="11" spans="1:124">
      <c r="A11" s="19"/>
      <c r="B11" s="29"/>
      <c r="C11" s="29"/>
      <c r="D11" s="19"/>
      <c r="E11" s="19"/>
      <c r="F11" s="19"/>
      <c r="G11" s="19"/>
      <c r="H11" s="19"/>
      <c r="I11" s="19" t="s">
        <v>615</v>
      </c>
      <c r="J11" s="83" t="s">
        <v>253</v>
      </c>
      <c r="K11" s="83" t="s">
        <v>253</v>
      </c>
      <c r="L11" s="83" t="s">
        <v>253</v>
      </c>
      <c r="M11" s="83" t="s">
        <v>253</v>
      </c>
      <c r="N11" s="83">
        <v>0.96</v>
      </c>
      <c r="O11" s="83" t="s">
        <v>253</v>
      </c>
      <c r="P11" s="19" t="s">
        <v>487</v>
      </c>
    </row>
    <row r="12" spans="1:124">
      <c r="A12" s="19"/>
      <c r="B12" s="29"/>
      <c r="C12" s="29"/>
      <c r="D12" s="19"/>
      <c r="E12" s="19"/>
      <c r="F12" s="19"/>
      <c r="G12" s="19"/>
      <c r="H12" s="19"/>
      <c r="I12" s="19" t="s">
        <v>480</v>
      </c>
      <c r="J12" s="83" t="s">
        <v>253</v>
      </c>
      <c r="K12" s="83" t="s">
        <v>253</v>
      </c>
      <c r="L12" s="83" t="s">
        <v>253</v>
      </c>
      <c r="M12" s="83" t="s">
        <v>253</v>
      </c>
      <c r="N12" s="83">
        <v>17.760000000000002</v>
      </c>
      <c r="O12" s="83" t="s">
        <v>253</v>
      </c>
      <c r="P12" s="19" t="s">
        <v>487</v>
      </c>
    </row>
    <row r="13" spans="1:124">
      <c r="A13" s="19"/>
      <c r="B13" s="29"/>
      <c r="C13" s="29"/>
      <c r="D13" s="19"/>
      <c r="E13" s="19"/>
      <c r="F13" s="19"/>
      <c r="G13" s="19"/>
      <c r="H13" s="19"/>
      <c r="I13" s="19" t="s">
        <v>485</v>
      </c>
      <c r="J13" s="83">
        <v>104</v>
      </c>
      <c r="K13" s="83" t="s">
        <v>253</v>
      </c>
      <c r="L13" s="83">
        <v>57</v>
      </c>
      <c r="M13" s="83" t="s">
        <v>253</v>
      </c>
      <c r="N13" s="83">
        <v>44.75</v>
      </c>
      <c r="O13" s="83" t="s">
        <v>253</v>
      </c>
      <c r="P13" s="19" t="s">
        <v>487</v>
      </c>
    </row>
    <row r="14" spans="1:124" ht="15">
      <c r="A14" s="19" t="s">
        <v>479</v>
      </c>
      <c r="B14" s="29" t="s">
        <v>922</v>
      </c>
      <c r="C14" s="29" t="s">
        <v>1063</v>
      </c>
      <c r="D14" s="19" t="s">
        <v>1066</v>
      </c>
      <c r="E14" s="19">
        <v>1981</v>
      </c>
      <c r="F14" s="19">
        <v>5</v>
      </c>
      <c r="G14" s="19">
        <v>17</v>
      </c>
      <c r="H14" s="28" t="s">
        <v>1047</v>
      </c>
      <c r="I14" s="19" t="s">
        <v>486</v>
      </c>
      <c r="J14" s="83" t="s">
        <v>253</v>
      </c>
      <c r="K14" s="83" t="s">
        <v>253</v>
      </c>
      <c r="L14" s="83" t="s">
        <v>253</v>
      </c>
      <c r="M14" s="83" t="s">
        <v>253</v>
      </c>
      <c r="N14" s="83">
        <v>4.79</v>
      </c>
      <c r="O14" s="83" t="s">
        <v>253</v>
      </c>
      <c r="P14" s="19" t="s">
        <v>717</v>
      </c>
    </row>
    <row r="15" spans="1:124" ht="15">
      <c r="A15" s="19"/>
      <c r="B15" s="29"/>
      <c r="C15" s="29"/>
      <c r="D15" s="19"/>
      <c r="E15" s="19"/>
      <c r="F15" s="19"/>
      <c r="G15" s="19"/>
      <c r="H15" s="28"/>
      <c r="I15" s="19" t="s">
        <v>1128</v>
      </c>
      <c r="J15" s="83" t="s">
        <v>253</v>
      </c>
      <c r="K15" s="83" t="s">
        <v>253</v>
      </c>
      <c r="L15" s="83" t="s">
        <v>253</v>
      </c>
      <c r="M15" s="83" t="s">
        <v>253</v>
      </c>
      <c r="N15" s="83">
        <v>4.8899999999999997</v>
      </c>
      <c r="O15" s="83" t="s">
        <v>253</v>
      </c>
      <c r="P15" s="19" t="s">
        <v>717</v>
      </c>
    </row>
    <row r="16" spans="1:124" ht="15">
      <c r="A16" s="19"/>
      <c r="B16" s="29"/>
      <c r="C16" s="29"/>
      <c r="D16" s="19"/>
      <c r="E16" s="19"/>
      <c r="F16" s="19"/>
      <c r="G16" s="19"/>
      <c r="H16" s="28"/>
      <c r="I16" s="19" t="s">
        <v>614</v>
      </c>
      <c r="J16" s="83" t="s">
        <v>253</v>
      </c>
      <c r="K16" s="83" t="s">
        <v>253</v>
      </c>
      <c r="L16" s="83" t="s">
        <v>253</v>
      </c>
      <c r="M16" s="83" t="s">
        <v>253</v>
      </c>
      <c r="N16" s="83">
        <v>2.0499999999999998</v>
      </c>
      <c r="O16" s="83" t="s">
        <v>253</v>
      </c>
      <c r="P16" s="19" t="s">
        <v>717</v>
      </c>
    </row>
    <row r="17" spans="1:16" ht="15">
      <c r="A17" s="19"/>
      <c r="B17" s="29"/>
      <c r="C17" s="29"/>
      <c r="D17" s="19"/>
      <c r="E17" s="19"/>
      <c r="F17" s="19"/>
      <c r="G17" s="19"/>
      <c r="H17" s="28"/>
      <c r="I17" s="19" t="s">
        <v>1129</v>
      </c>
      <c r="J17" s="83" t="s">
        <v>253</v>
      </c>
      <c r="K17" s="83" t="s">
        <v>253</v>
      </c>
      <c r="L17" s="83" t="s">
        <v>253</v>
      </c>
      <c r="M17" s="83" t="s">
        <v>253</v>
      </c>
      <c r="N17" s="83">
        <v>1.38</v>
      </c>
      <c r="O17" s="83" t="s">
        <v>253</v>
      </c>
      <c r="P17" s="19" t="s">
        <v>717</v>
      </c>
    </row>
    <row r="18" spans="1:16" ht="15">
      <c r="A18" s="19"/>
      <c r="B18" s="29"/>
      <c r="C18" s="29"/>
      <c r="D18" s="19"/>
      <c r="E18" s="19"/>
      <c r="F18" s="19"/>
      <c r="G18" s="19"/>
      <c r="H18" s="28"/>
      <c r="I18" s="19" t="s">
        <v>480</v>
      </c>
      <c r="J18" s="83" t="s">
        <v>253</v>
      </c>
      <c r="K18" s="83" t="s">
        <v>253</v>
      </c>
      <c r="L18" s="83" t="s">
        <v>253</v>
      </c>
      <c r="M18" s="83" t="s">
        <v>253</v>
      </c>
      <c r="N18" s="83">
        <v>13.39</v>
      </c>
      <c r="O18" s="83" t="s">
        <v>253</v>
      </c>
      <c r="P18" s="19" t="s">
        <v>717</v>
      </c>
    </row>
    <row r="19" spans="1:16" ht="15">
      <c r="A19" s="19"/>
      <c r="B19" s="29"/>
      <c r="C19" s="29"/>
      <c r="D19" s="19"/>
      <c r="E19" s="19"/>
      <c r="F19" s="19"/>
      <c r="G19" s="19"/>
      <c r="H19" s="28"/>
      <c r="I19" s="19" t="s">
        <v>485</v>
      </c>
      <c r="J19" s="83">
        <v>93</v>
      </c>
      <c r="K19" s="83" t="s">
        <v>253</v>
      </c>
      <c r="L19" s="83">
        <v>71</v>
      </c>
      <c r="M19" s="83" t="s">
        <v>253</v>
      </c>
      <c r="N19" s="83">
        <v>26.5</v>
      </c>
      <c r="O19" s="83" t="s">
        <v>253</v>
      </c>
      <c r="P19" s="19" t="s">
        <v>717</v>
      </c>
    </row>
    <row r="20" spans="1:16" ht="15">
      <c r="A20" s="19" t="s">
        <v>921</v>
      </c>
      <c r="B20" s="29" t="s">
        <v>922</v>
      </c>
      <c r="C20" s="29" t="s">
        <v>1063</v>
      </c>
      <c r="D20" s="19" t="s">
        <v>1066</v>
      </c>
      <c r="E20" s="19">
        <v>1982</v>
      </c>
      <c r="F20" s="19">
        <v>5</v>
      </c>
      <c r="G20" s="19">
        <v>25</v>
      </c>
      <c r="H20" s="28" t="s">
        <v>1047</v>
      </c>
      <c r="I20" s="19" t="s">
        <v>486</v>
      </c>
      <c r="J20" s="83" t="s">
        <v>253</v>
      </c>
      <c r="K20" s="83" t="s">
        <v>253</v>
      </c>
      <c r="L20" s="83" t="s">
        <v>253</v>
      </c>
      <c r="M20" s="83" t="s">
        <v>253</v>
      </c>
      <c r="N20" s="83">
        <v>11.29</v>
      </c>
      <c r="O20" s="83" t="s">
        <v>253</v>
      </c>
      <c r="P20" s="19" t="s">
        <v>1130</v>
      </c>
    </row>
    <row r="21" spans="1:16" ht="15">
      <c r="A21" s="19"/>
      <c r="B21" s="29"/>
      <c r="C21" s="29"/>
      <c r="D21" s="19"/>
      <c r="E21" s="19"/>
      <c r="F21" s="19"/>
      <c r="G21" s="19"/>
      <c r="H21" s="28"/>
      <c r="I21" s="19" t="s">
        <v>1128</v>
      </c>
      <c r="J21" s="83" t="s">
        <v>253</v>
      </c>
      <c r="K21" s="83" t="s">
        <v>253</v>
      </c>
      <c r="L21" s="83" t="s">
        <v>253</v>
      </c>
      <c r="M21" s="83" t="s">
        <v>253</v>
      </c>
      <c r="N21" s="83">
        <v>4.67</v>
      </c>
      <c r="O21" s="83" t="s">
        <v>253</v>
      </c>
      <c r="P21" s="19" t="s">
        <v>1130</v>
      </c>
    </row>
    <row r="22" spans="1:16" ht="15">
      <c r="A22" s="19"/>
      <c r="B22" s="29"/>
      <c r="C22" s="29"/>
      <c r="D22" s="19"/>
      <c r="E22" s="19"/>
      <c r="F22" s="19"/>
      <c r="G22" s="19"/>
      <c r="H22" s="28"/>
      <c r="I22" s="19" t="s">
        <v>614</v>
      </c>
      <c r="J22" s="83" t="s">
        <v>253</v>
      </c>
      <c r="K22" s="83" t="s">
        <v>253</v>
      </c>
      <c r="L22" s="83" t="s">
        <v>253</v>
      </c>
      <c r="M22" s="83" t="s">
        <v>253</v>
      </c>
      <c r="N22" s="83">
        <v>1.53</v>
      </c>
      <c r="O22" s="83" t="s">
        <v>253</v>
      </c>
      <c r="P22" s="19" t="s">
        <v>1130</v>
      </c>
    </row>
    <row r="23" spans="1:16" ht="15">
      <c r="A23" s="19"/>
      <c r="B23" s="29"/>
      <c r="C23" s="29"/>
      <c r="D23" s="19"/>
      <c r="E23" s="19"/>
      <c r="F23" s="19"/>
      <c r="G23" s="19"/>
      <c r="H23" s="28"/>
      <c r="I23" s="19" t="s">
        <v>615</v>
      </c>
      <c r="J23" s="83" t="s">
        <v>253</v>
      </c>
      <c r="K23" s="83" t="s">
        <v>253</v>
      </c>
      <c r="L23" s="83" t="s">
        <v>253</v>
      </c>
      <c r="M23" s="83" t="s">
        <v>253</v>
      </c>
      <c r="N23" s="83">
        <v>1.63</v>
      </c>
      <c r="O23" s="83" t="s">
        <v>253</v>
      </c>
      <c r="P23" s="19" t="s">
        <v>1130</v>
      </c>
    </row>
    <row r="24" spans="1:16" ht="15">
      <c r="A24" s="19"/>
      <c r="B24" s="29"/>
      <c r="C24" s="29"/>
      <c r="D24" s="19"/>
      <c r="E24" s="19"/>
      <c r="F24" s="19"/>
      <c r="G24" s="19"/>
      <c r="H24" s="28"/>
      <c r="I24" s="19" t="s">
        <v>480</v>
      </c>
      <c r="J24" s="83" t="s">
        <v>253</v>
      </c>
      <c r="K24" s="83" t="s">
        <v>253</v>
      </c>
      <c r="L24" s="83" t="s">
        <v>253</v>
      </c>
      <c r="M24" s="83" t="s">
        <v>253</v>
      </c>
      <c r="N24" s="83">
        <v>8.84</v>
      </c>
      <c r="O24" s="83" t="s">
        <v>253</v>
      </c>
      <c r="P24" s="19" t="s">
        <v>1130</v>
      </c>
    </row>
    <row r="25" spans="1:16" ht="15">
      <c r="A25" s="19"/>
      <c r="B25" s="29"/>
      <c r="C25" s="29"/>
      <c r="D25" s="19"/>
      <c r="E25" s="19"/>
      <c r="F25" s="19"/>
      <c r="G25" s="19"/>
      <c r="H25" s="28"/>
      <c r="I25" s="19" t="s">
        <v>485</v>
      </c>
      <c r="J25" s="83">
        <v>99</v>
      </c>
      <c r="K25" s="83" t="s">
        <v>253</v>
      </c>
      <c r="L25" s="83">
        <v>72</v>
      </c>
      <c r="M25" s="83" t="s">
        <v>253</v>
      </c>
      <c r="N25" s="83">
        <v>27.96</v>
      </c>
      <c r="O25" s="83" t="s">
        <v>253</v>
      </c>
      <c r="P25" s="19" t="s">
        <v>1130</v>
      </c>
    </row>
    <row r="26" spans="1:16" ht="15">
      <c r="A26" s="19" t="s">
        <v>921</v>
      </c>
      <c r="B26" s="29" t="s">
        <v>922</v>
      </c>
      <c r="C26" s="29" t="s">
        <v>1063</v>
      </c>
      <c r="D26" s="19" t="s">
        <v>1066</v>
      </c>
      <c r="E26" s="19">
        <v>1982</v>
      </c>
      <c r="F26" s="19">
        <v>6</v>
      </c>
      <c r="G26" s="19">
        <v>6</v>
      </c>
      <c r="H26" s="28" t="s">
        <v>1047</v>
      </c>
      <c r="I26" s="19" t="s">
        <v>486</v>
      </c>
      <c r="J26" s="83" t="s">
        <v>253</v>
      </c>
      <c r="K26" s="83" t="s">
        <v>253</v>
      </c>
      <c r="L26" s="83" t="s">
        <v>253</v>
      </c>
      <c r="M26" s="83" t="s">
        <v>253</v>
      </c>
      <c r="N26" s="83">
        <v>15.23</v>
      </c>
      <c r="O26" s="83" t="s">
        <v>253</v>
      </c>
      <c r="P26" s="19" t="s">
        <v>859</v>
      </c>
    </row>
    <row r="27" spans="1:16" ht="15">
      <c r="A27" s="19"/>
      <c r="B27" s="29"/>
      <c r="C27" s="29"/>
      <c r="D27" s="19"/>
      <c r="E27" s="19"/>
      <c r="F27" s="19"/>
      <c r="G27" s="19"/>
      <c r="H27" s="28"/>
      <c r="I27" s="19" t="s">
        <v>855</v>
      </c>
      <c r="J27" s="83" t="s">
        <v>253</v>
      </c>
      <c r="K27" s="83" t="s">
        <v>253</v>
      </c>
      <c r="L27" s="83" t="s">
        <v>253</v>
      </c>
      <c r="M27" s="83" t="s">
        <v>253</v>
      </c>
      <c r="N27" s="83">
        <v>5.4</v>
      </c>
      <c r="O27" s="83" t="s">
        <v>253</v>
      </c>
      <c r="P27" s="19" t="s">
        <v>859</v>
      </c>
    </row>
    <row r="28" spans="1:16" ht="15">
      <c r="A28" s="19"/>
      <c r="B28" s="29"/>
      <c r="C28" s="29"/>
      <c r="D28" s="19"/>
      <c r="E28" s="19"/>
      <c r="F28" s="19"/>
      <c r="G28" s="19"/>
      <c r="H28" s="28"/>
      <c r="I28" s="19" t="s">
        <v>614</v>
      </c>
      <c r="J28" s="83" t="s">
        <v>253</v>
      </c>
      <c r="K28" s="83" t="s">
        <v>253</v>
      </c>
      <c r="L28" s="83" t="s">
        <v>253</v>
      </c>
      <c r="M28" s="83" t="s">
        <v>253</v>
      </c>
      <c r="N28" s="83">
        <v>5.13</v>
      </c>
      <c r="O28" s="83" t="s">
        <v>253</v>
      </c>
      <c r="P28" s="19" t="s">
        <v>859</v>
      </c>
    </row>
    <row r="29" spans="1:16" ht="15">
      <c r="A29" s="19"/>
      <c r="B29" s="29"/>
      <c r="C29" s="29"/>
      <c r="D29" s="19"/>
      <c r="E29" s="19"/>
      <c r="F29" s="19"/>
      <c r="G29" s="19"/>
      <c r="H29" s="28"/>
      <c r="I29" s="19" t="s">
        <v>615</v>
      </c>
      <c r="J29" s="83" t="s">
        <v>253</v>
      </c>
      <c r="K29" s="83" t="s">
        <v>253</v>
      </c>
      <c r="L29" s="83" t="s">
        <v>253</v>
      </c>
      <c r="M29" s="83" t="s">
        <v>253</v>
      </c>
      <c r="N29" s="83">
        <v>1.58</v>
      </c>
      <c r="O29" s="83" t="s">
        <v>253</v>
      </c>
      <c r="P29" s="19" t="s">
        <v>859</v>
      </c>
    </row>
    <row r="30" spans="1:16" ht="15">
      <c r="A30" s="19"/>
      <c r="B30" s="29"/>
      <c r="C30" s="29"/>
      <c r="D30" s="19"/>
      <c r="E30" s="19"/>
      <c r="F30" s="19"/>
      <c r="G30" s="19"/>
      <c r="H30" s="28"/>
      <c r="I30" s="19" t="s">
        <v>480</v>
      </c>
      <c r="J30" s="83" t="s">
        <v>253</v>
      </c>
      <c r="K30" s="83" t="s">
        <v>253</v>
      </c>
      <c r="L30" s="83" t="s">
        <v>253</v>
      </c>
      <c r="M30" s="83" t="s">
        <v>253</v>
      </c>
      <c r="N30" s="83">
        <v>9.24</v>
      </c>
      <c r="O30" s="83" t="s">
        <v>253</v>
      </c>
      <c r="P30" s="19" t="s">
        <v>859</v>
      </c>
    </row>
    <row r="31" spans="1:16" ht="15">
      <c r="A31" s="19"/>
      <c r="B31" s="29"/>
      <c r="C31" s="29"/>
      <c r="D31" s="19"/>
      <c r="E31" s="19"/>
      <c r="F31" s="19"/>
      <c r="G31" s="19"/>
      <c r="H31" s="28"/>
      <c r="I31" s="19" t="s">
        <v>485</v>
      </c>
      <c r="J31" s="83">
        <v>103</v>
      </c>
      <c r="K31" s="83" t="s">
        <v>1046</v>
      </c>
      <c r="L31" s="83">
        <v>64</v>
      </c>
      <c r="M31" s="83" t="s">
        <v>1046</v>
      </c>
      <c r="N31" s="83">
        <v>36.58</v>
      </c>
      <c r="O31" s="83" t="s">
        <v>253</v>
      </c>
      <c r="P31" s="19" t="s">
        <v>859</v>
      </c>
    </row>
    <row r="32" spans="1:16" ht="15">
      <c r="A32" s="19" t="s">
        <v>921</v>
      </c>
      <c r="B32" s="29" t="s">
        <v>922</v>
      </c>
      <c r="C32" s="29" t="s">
        <v>1063</v>
      </c>
      <c r="D32" s="19" t="s">
        <v>1066</v>
      </c>
      <c r="E32" s="19">
        <v>1982</v>
      </c>
      <c r="F32" s="19">
        <v>6</v>
      </c>
      <c r="G32" s="19">
        <v>27</v>
      </c>
      <c r="H32" s="28" t="s">
        <v>1047</v>
      </c>
      <c r="I32" s="19" t="s">
        <v>486</v>
      </c>
      <c r="J32" s="83" t="s">
        <v>253</v>
      </c>
      <c r="K32" s="83" t="s">
        <v>253</v>
      </c>
      <c r="L32" s="83" t="s">
        <v>253</v>
      </c>
      <c r="M32" s="83" t="s">
        <v>253</v>
      </c>
      <c r="N32" s="83">
        <v>8.8000000000000007</v>
      </c>
      <c r="O32" s="83" t="s">
        <v>253</v>
      </c>
      <c r="P32" s="19" t="s">
        <v>726</v>
      </c>
    </row>
    <row r="33" spans="1:16" ht="15">
      <c r="A33" s="19"/>
      <c r="B33" s="29"/>
      <c r="C33" s="29"/>
      <c r="D33" s="19"/>
      <c r="E33" s="19"/>
      <c r="F33" s="19"/>
      <c r="G33" s="19"/>
      <c r="H33" s="28"/>
      <c r="I33" s="19" t="s">
        <v>855</v>
      </c>
      <c r="J33" s="83" t="s">
        <v>253</v>
      </c>
      <c r="K33" s="83" t="s">
        <v>253</v>
      </c>
      <c r="L33" s="83" t="s">
        <v>253</v>
      </c>
      <c r="M33" s="83" t="s">
        <v>253</v>
      </c>
      <c r="N33" s="83">
        <v>5.15</v>
      </c>
      <c r="O33" s="83" t="s">
        <v>253</v>
      </c>
      <c r="P33" s="19" t="s">
        <v>726</v>
      </c>
    </row>
    <row r="34" spans="1:16" ht="15">
      <c r="A34" s="19"/>
      <c r="B34" s="29"/>
      <c r="C34" s="29"/>
      <c r="D34" s="19"/>
      <c r="E34" s="19"/>
      <c r="F34" s="19"/>
      <c r="G34" s="19"/>
      <c r="H34" s="28"/>
      <c r="I34" s="19" t="s">
        <v>614</v>
      </c>
      <c r="J34" s="83" t="s">
        <v>253</v>
      </c>
      <c r="K34" s="83" t="s">
        <v>253</v>
      </c>
      <c r="L34" s="83" t="s">
        <v>253</v>
      </c>
      <c r="M34" s="83" t="s">
        <v>253</v>
      </c>
      <c r="N34" s="83">
        <v>5.39</v>
      </c>
      <c r="O34" s="83" t="s">
        <v>253</v>
      </c>
      <c r="P34" s="19" t="s">
        <v>726</v>
      </c>
    </row>
    <row r="35" spans="1:16" ht="15">
      <c r="A35" s="19"/>
      <c r="B35" s="29"/>
      <c r="C35" s="29"/>
      <c r="D35" s="19"/>
      <c r="E35" s="19"/>
      <c r="F35" s="19"/>
      <c r="G35" s="19"/>
      <c r="H35" s="28"/>
      <c r="I35" s="19" t="s">
        <v>615</v>
      </c>
      <c r="J35" s="83" t="s">
        <v>253</v>
      </c>
      <c r="K35" s="83" t="s">
        <v>253</v>
      </c>
      <c r="L35" s="83" t="s">
        <v>253</v>
      </c>
      <c r="M35" s="83" t="s">
        <v>253</v>
      </c>
      <c r="N35" s="83">
        <v>1.7</v>
      </c>
      <c r="O35" s="83" t="s">
        <v>253</v>
      </c>
      <c r="P35" s="19" t="s">
        <v>726</v>
      </c>
    </row>
    <row r="36" spans="1:16" ht="15">
      <c r="A36" s="19"/>
      <c r="B36" s="29"/>
      <c r="C36" s="29"/>
      <c r="D36" s="19"/>
      <c r="E36" s="19"/>
      <c r="F36" s="19"/>
      <c r="G36" s="19"/>
      <c r="H36" s="28"/>
      <c r="I36" s="19" t="s">
        <v>480</v>
      </c>
      <c r="J36" s="83" t="s">
        <v>253</v>
      </c>
      <c r="K36" s="83" t="s">
        <v>253</v>
      </c>
      <c r="L36" s="83" t="s">
        <v>253</v>
      </c>
      <c r="M36" s="83" t="s">
        <v>253</v>
      </c>
      <c r="N36" s="83">
        <v>12.94</v>
      </c>
      <c r="O36" s="83" t="s">
        <v>253</v>
      </c>
      <c r="P36" s="19" t="s">
        <v>726</v>
      </c>
    </row>
    <row r="37" spans="1:16" ht="16" thickBot="1">
      <c r="A37" s="19"/>
      <c r="B37" s="29"/>
      <c r="C37" s="29"/>
      <c r="D37" s="19"/>
      <c r="E37" s="19"/>
      <c r="F37" s="19"/>
      <c r="G37" s="19"/>
      <c r="H37" s="28"/>
      <c r="I37" s="38" t="s">
        <v>485</v>
      </c>
      <c r="J37" s="84">
        <v>96</v>
      </c>
      <c r="K37" s="84" t="s">
        <v>1046</v>
      </c>
      <c r="L37" s="84">
        <v>66</v>
      </c>
      <c r="M37" s="84" t="s">
        <v>1046</v>
      </c>
      <c r="N37" s="84">
        <v>33.979999999999997</v>
      </c>
      <c r="O37" s="84" t="s">
        <v>1046</v>
      </c>
      <c r="P37" s="19" t="s">
        <v>726</v>
      </c>
    </row>
    <row r="38" spans="1:16" ht="15">
      <c r="I38" s="47" t="s">
        <v>1115</v>
      </c>
      <c r="J38" s="51" t="s">
        <v>1976</v>
      </c>
      <c r="K38" s="51" t="s">
        <v>1976</v>
      </c>
      <c r="L38" s="51" t="s">
        <v>1976</v>
      </c>
      <c r="M38" s="51" t="s">
        <v>1976</v>
      </c>
      <c r="N38" s="51">
        <f>ROUND(AVERAGE(N2,N8,N14,N20,N26,N32),1)</f>
        <v>12.3</v>
      </c>
      <c r="O38" s="52">
        <f>ROUND(STDEV(N2,N8,N14,N20,N26,N32),1)</f>
        <v>5.4</v>
      </c>
    </row>
    <row r="39" spans="1:16" ht="15">
      <c r="I39" s="285" t="s">
        <v>326</v>
      </c>
      <c r="J39" s="53" t="s">
        <v>1976</v>
      </c>
      <c r="K39" s="53" t="s">
        <v>1976</v>
      </c>
      <c r="L39" s="53" t="s">
        <v>1976</v>
      </c>
      <c r="M39" s="53" t="s">
        <v>1976</v>
      </c>
      <c r="N39" s="53">
        <f t="shared" ref="N39:N43" si="0">ROUND(AVERAGE(N3,N9,N15,N21,N27,N33),1)</f>
        <v>4.5999999999999996</v>
      </c>
      <c r="O39" s="54">
        <f t="shared" ref="O39:O43" si="1">ROUND(STDEV(N3,N9,N15,N21,N27,N33),1)</f>
        <v>1.1000000000000001</v>
      </c>
    </row>
    <row r="40" spans="1:16" ht="15">
      <c r="I40" s="285" t="s">
        <v>343</v>
      </c>
      <c r="J40" s="53" t="s">
        <v>1976</v>
      </c>
      <c r="K40" s="53" t="s">
        <v>1976</v>
      </c>
      <c r="L40" s="53" t="s">
        <v>1976</v>
      </c>
      <c r="M40" s="53" t="s">
        <v>1976</v>
      </c>
      <c r="N40" s="53">
        <f t="shared" si="0"/>
        <v>2.5</v>
      </c>
      <c r="O40" s="54">
        <f t="shared" si="1"/>
        <v>2.2000000000000002</v>
      </c>
    </row>
    <row r="41" spans="1:16" ht="15">
      <c r="I41" s="285" t="s">
        <v>474</v>
      </c>
      <c r="J41" s="53" t="s">
        <v>1976</v>
      </c>
      <c r="K41" s="53" t="s">
        <v>1976</v>
      </c>
      <c r="L41" s="53" t="s">
        <v>1976</v>
      </c>
      <c r="M41" s="53" t="s">
        <v>1976</v>
      </c>
      <c r="N41" s="53">
        <f t="shared" si="0"/>
        <v>1.3</v>
      </c>
      <c r="O41" s="54">
        <f t="shared" si="1"/>
        <v>0.5</v>
      </c>
    </row>
    <row r="42" spans="1:16" ht="15">
      <c r="I42" s="285" t="s">
        <v>475</v>
      </c>
      <c r="J42" s="53" t="s">
        <v>1976</v>
      </c>
      <c r="K42" s="53" t="s">
        <v>1976</v>
      </c>
      <c r="L42" s="53" t="s">
        <v>1976</v>
      </c>
      <c r="M42" s="53" t="s">
        <v>1976</v>
      </c>
      <c r="N42" s="53">
        <f t="shared" si="0"/>
        <v>13.1</v>
      </c>
      <c r="O42" s="54">
        <f t="shared" si="1"/>
        <v>3.6</v>
      </c>
    </row>
    <row r="43" spans="1:16" ht="16" thickBot="1">
      <c r="I43" s="286" t="s">
        <v>476</v>
      </c>
      <c r="J43" s="55">
        <f>ROUND(AVERAGE(J7,J13,J19,J25,J31,J37),1)</f>
        <v>99.3</v>
      </c>
      <c r="K43" s="55">
        <f>ROUND(STDEV(J7,J13,J19,J25,J31,J37),1)</f>
        <v>4.2</v>
      </c>
      <c r="L43" s="55">
        <f>ROUND(AVERAGE(L7,L13,L19,L25,L31,L37),1)</f>
        <v>66.2</v>
      </c>
      <c r="M43" s="55">
        <f>ROUND(STDEV(L7,L13,L19,L25,L31,L37),1)</f>
        <v>5.4</v>
      </c>
      <c r="N43" s="55">
        <f t="shared" si="0"/>
        <v>33.700000000000003</v>
      </c>
      <c r="O43" s="56">
        <f t="shared" si="1"/>
        <v>6.6</v>
      </c>
    </row>
    <row r="44" spans="1:16">
      <c r="J44" s="78"/>
      <c r="K44" s="78"/>
      <c r="L44" s="78"/>
      <c r="M44" s="78"/>
      <c r="N44" s="78"/>
      <c r="O44" s="78"/>
    </row>
    <row r="45" spans="1:16">
      <c r="A45" s="296"/>
      <c r="B45" s="296"/>
      <c r="C45" s="296"/>
      <c r="D45" s="296"/>
      <c r="E45" s="296"/>
      <c r="F45" s="296"/>
      <c r="G45" s="296"/>
      <c r="H45" s="296"/>
      <c r="I45" s="296"/>
      <c r="J45" s="412"/>
      <c r="K45" s="412"/>
      <c r="L45" s="412"/>
      <c r="M45" s="412"/>
      <c r="N45" s="412"/>
      <c r="O45" s="412"/>
      <c r="P45" s="296"/>
    </row>
    <row r="46" spans="1:16">
      <c r="J46" s="78"/>
      <c r="K46" s="78"/>
      <c r="L46" s="78"/>
      <c r="M46" s="78"/>
      <c r="N46" s="78"/>
      <c r="O46" s="78"/>
    </row>
    <row r="47" spans="1:16" ht="15">
      <c r="A47" s="19" t="s">
        <v>1002</v>
      </c>
      <c r="B47" s="29" t="s">
        <v>1003</v>
      </c>
      <c r="C47" s="29" t="s">
        <v>1004</v>
      </c>
      <c r="D47" s="19" t="s">
        <v>993</v>
      </c>
      <c r="E47" s="19">
        <v>1975</v>
      </c>
      <c r="F47" s="19">
        <v>6</v>
      </c>
      <c r="G47" s="19">
        <v>26</v>
      </c>
      <c r="H47" s="28" t="s">
        <v>1047</v>
      </c>
      <c r="I47" s="37" t="s">
        <v>253</v>
      </c>
      <c r="J47" s="83">
        <v>43</v>
      </c>
      <c r="K47" s="83" t="s">
        <v>1046</v>
      </c>
      <c r="L47" s="83">
        <v>36</v>
      </c>
      <c r="M47" s="83" t="s">
        <v>1046</v>
      </c>
      <c r="N47" s="83">
        <v>16</v>
      </c>
      <c r="O47" s="83" t="s">
        <v>1046</v>
      </c>
      <c r="P47" s="19" t="s">
        <v>994</v>
      </c>
    </row>
    <row r="48" spans="1:16" ht="15">
      <c r="A48" s="19" t="s">
        <v>1002</v>
      </c>
      <c r="B48" s="29" t="s">
        <v>1003</v>
      </c>
      <c r="C48" s="29" t="s">
        <v>1004</v>
      </c>
      <c r="D48" s="19" t="s">
        <v>993</v>
      </c>
      <c r="E48" s="19">
        <v>1975</v>
      </c>
      <c r="F48" s="19">
        <v>6</v>
      </c>
      <c r="G48" s="19">
        <v>26</v>
      </c>
      <c r="H48" s="28" t="s">
        <v>1047</v>
      </c>
      <c r="I48" s="37" t="s">
        <v>253</v>
      </c>
      <c r="J48" s="83">
        <v>31</v>
      </c>
      <c r="K48" s="83" t="s">
        <v>1046</v>
      </c>
      <c r="L48" s="83">
        <v>67</v>
      </c>
      <c r="M48" s="83" t="s">
        <v>1046</v>
      </c>
      <c r="N48" s="83">
        <v>21</v>
      </c>
      <c r="O48" s="83" t="s">
        <v>1046</v>
      </c>
      <c r="P48" s="19" t="s">
        <v>994</v>
      </c>
    </row>
    <row r="49" spans="1:17" ht="15">
      <c r="A49" s="19" t="s">
        <v>1002</v>
      </c>
      <c r="B49" s="29" t="s">
        <v>1003</v>
      </c>
      <c r="C49" s="29" t="s">
        <v>1004</v>
      </c>
      <c r="D49" s="19" t="s">
        <v>993</v>
      </c>
      <c r="E49" s="19">
        <v>1975</v>
      </c>
      <c r="F49" s="19">
        <v>6</v>
      </c>
      <c r="G49" s="19">
        <v>27</v>
      </c>
      <c r="H49" s="28" t="s">
        <v>1047</v>
      </c>
      <c r="I49" s="37" t="s">
        <v>253</v>
      </c>
      <c r="J49" s="83">
        <v>42</v>
      </c>
      <c r="K49" s="83" t="s">
        <v>1046</v>
      </c>
      <c r="L49" s="83">
        <v>46</v>
      </c>
      <c r="M49" s="83" t="s">
        <v>1046</v>
      </c>
      <c r="N49" s="83">
        <v>19</v>
      </c>
      <c r="O49" s="83" t="s">
        <v>1046</v>
      </c>
      <c r="P49" s="19" t="s">
        <v>994</v>
      </c>
    </row>
    <row r="50" spans="1:17" ht="15">
      <c r="A50" s="19" t="s">
        <v>1002</v>
      </c>
      <c r="B50" s="29" t="s">
        <v>1003</v>
      </c>
      <c r="C50" s="29" t="s">
        <v>1004</v>
      </c>
      <c r="D50" s="19" t="s">
        <v>993</v>
      </c>
      <c r="E50" s="19">
        <v>1975</v>
      </c>
      <c r="F50" s="19">
        <v>6</v>
      </c>
      <c r="G50" s="19">
        <v>30</v>
      </c>
      <c r="H50" s="28" t="s">
        <v>1047</v>
      </c>
      <c r="I50" s="37" t="s">
        <v>253</v>
      </c>
      <c r="J50" s="83">
        <v>50</v>
      </c>
      <c r="K50" s="83" t="s">
        <v>1046</v>
      </c>
      <c r="L50" s="83">
        <v>52</v>
      </c>
      <c r="M50" s="83" t="s">
        <v>1046</v>
      </c>
      <c r="N50" s="83">
        <v>26</v>
      </c>
      <c r="O50" s="83" t="s">
        <v>1046</v>
      </c>
      <c r="P50" s="19" t="s">
        <v>994</v>
      </c>
    </row>
    <row r="51" spans="1:17" ht="15">
      <c r="A51" s="19" t="s">
        <v>1002</v>
      </c>
      <c r="B51" s="29" t="s">
        <v>1003</v>
      </c>
      <c r="C51" s="29" t="s">
        <v>1004</v>
      </c>
      <c r="D51" s="19" t="s">
        <v>993</v>
      </c>
      <c r="E51" s="19">
        <v>1975</v>
      </c>
      <c r="F51" s="19">
        <v>7</v>
      </c>
      <c r="G51" s="19">
        <v>1</v>
      </c>
      <c r="H51" s="28" t="s">
        <v>1047</v>
      </c>
      <c r="I51" s="37" t="s">
        <v>253</v>
      </c>
      <c r="J51" s="83">
        <v>65</v>
      </c>
      <c r="K51" s="83" t="s">
        <v>1046</v>
      </c>
      <c r="L51" s="83">
        <v>34</v>
      </c>
      <c r="M51" s="83" t="s">
        <v>1046</v>
      </c>
      <c r="N51" s="83">
        <v>22</v>
      </c>
      <c r="O51" s="83" t="s">
        <v>1046</v>
      </c>
      <c r="P51" s="19" t="s">
        <v>994</v>
      </c>
    </row>
    <row r="52" spans="1:17" ht="15">
      <c r="A52" s="19" t="s">
        <v>1002</v>
      </c>
      <c r="B52" s="29" t="s">
        <v>1003</v>
      </c>
      <c r="C52" s="29" t="s">
        <v>1004</v>
      </c>
      <c r="D52" s="19" t="s">
        <v>993</v>
      </c>
      <c r="E52" s="19">
        <v>1976</v>
      </c>
      <c r="F52" s="19">
        <v>6</v>
      </c>
      <c r="G52" s="19">
        <v>4</v>
      </c>
      <c r="H52" s="28" t="s">
        <v>1047</v>
      </c>
      <c r="I52" s="37" t="s">
        <v>253</v>
      </c>
      <c r="J52" s="83">
        <v>46</v>
      </c>
      <c r="K52" s="83" t="s">
        <v>1046</v>
      </c>
      <c r="L52" s="83">
        <v>20</v>
      </c>
      <c r="M52" s="83" t="s">
        <v>1046</v>
      </c>
      <c r="N52" s="83">
        <v>10</v>
      </c>
      <c r="O52" s="83" t="s">
        <v>1046</v>
      </c>
      <c r="P52" s="19" t="s">
        <v>994</v>
      </c>
    </row>
    <row r="53" spans="1:17" ht="15">
      <c r="A53" s="19" t="s">
        <v>1002</v>
      </c>
      <c r="B53" s="29" t="s">
        <v>1003</v>
      </c>
      <c r="C53" s="29" t="s">
        <v>1004</v>
      </c>
      <c r="D53" s="19" t="s">
        <v>993</v>
      </c>
      <c r="E53" s="19">
        <v>1976</v>
      </c>
      <c r="F53" s="19">
        <v>7</v>
      </c>
      <c r="G53" s="19">
        <v>6</v>
      </c>
      <c r="H53" s="28" t="s">
        <v>1047</v>
      </c>
      <c r="I53" s="37" t="s">
        <v>253</v>
      </c>
      <c r="J53" s="83">
        <v>65</v>
      </c>
      <c r="K53" s="83" t="s">
        <v>1046</v>
      </c>
      <c r="L53" s="83">
        <v>45</v>
      </c>
      <c r="M53" s="83" t="s">
        <v>1046</v>
      </c>
      <c r="N53" s="83">
        <v>29</v>
      </c>
      <c r="O53" s="83" t="s">
        <v>1046</v>
      </c>
      <c r="P53" s="19" t="s">
        <v>994</v>
      </c>
    </row>
    <row r="54" spans="1:17" ht="15">
      <c r="A54" s="19" t="s">
        <v>1002</v>
      </c>
      <c r="B54" s="29" t="s">
        <v>1003</v>
      </c>
      <c r="C54" s="29" t="s">
        <v>1004</v>
      </c>
      <c r="D54" s="19" t="s">
        <v>993</v>
      </c>
      <c r="E54" s="19">
        <v>1976</v>
      </c>
      <c r="F54" s="19">
        <v>7</v>
      </c>
      <c r="G54" s="19">
        <v>9</v>
      </c>
      <c r="H54" s="28" t="s">
        <v>1047</v>
      </c>
      <c r="I54" s="37" t="s">
        <v>253</v>
      </c>
      <c r="J54" s="83">
        <v>42</v>
      </c>
      <c r="K54" s="83" t="s">
        <v>1046</v>
      </c>
      <c r="L54" s="83">
        <v>71</v>
      </c>
      <c r="M54" s="83" t="s">
        <v>1046</v>
      </c>
      <c r="N54" s="83">
        <v>30</v>
      </c>
      <c r="O54" s="83" t="s">
        <v>1046</v>
      </c>
      <c r="P54" s="19" t="s">
        <v>994</v>
      </c>
    </row>
    <row r="55" spans="1:17" ht="15">
      <c r="A55" s="19" t="s">
        <v>1002</v>
      </c>
      <c r="B55" s="29" t="s">
        <v>1003</v>
      </c>
      <c r="C55" s="29" t="s">
        <v>1004</v>
      </c>
      <c r="D55" s="19" t="s">
        <v>993</v>
      </c>
      <c r="E55" s="19">
        <v>1976</v>
      </c>
      <c r="F55" s="19">
        <v>7</v>
      </c>
      <c r="G55" s="19">
        <v>9</v>
      </c>
      <c r="H55" s="28" t="s">
        <v>1047</v>
      </c>
      <c r="I55" s="37" t="s">
        <v>253</v>
      </c>
      <c r="J55" s="83">
        <v>49</v>
      </c>
      <c r="K55" s="83" t="s">
        <v>1046</v>
      </c>
      <c r="L55" s="83">
        <v>70</v>
      </c>
      <c r="M55" s="83" t="s">
        <v>1046</v>
      </c>
      <c r="N55" s="83">
        <v>34</v>
      </c>
      <c r="O55" s="83" t="s">
        <v>1046</v>
      </c>
      <c r="P55" s="19" t="s">
        <v>994</v>
      </c>
    </row>
    <row r="56" spans="1:17" ht="15">
      <c r="A56" s="19" t="s">
        <v>1002</v>
      </c>
      <c r="B56" s="29" t="s">
        <v>1003</v>
      </c>
      <c r="C56" s="29" t="s">
        <v>1004</v>
      </c>
      <c r="D56" s="19" t="s">
        <v>993</v>
      </c>
      <c r="E56" s="19">
        <v>1976</v>
      </c>
      <c r="F56" s="19">
        <v>7</v>
      </c>
      <c r="G56" s="19">
        <v>13</v>
      </c>
      <c r="H56" s="28" t="s">
        <v>1047</v>
      </c>
      <c r="I56" s="37" t="s">
        <v>253</v>
      </c>
      <c r="J56" s="83">
        <v>49</v>
      </c>
      <c r="K56" s="83" t="s">
        <v>1046</v>
      </c>
      <c r="L56" s="83">
        <v>69</v>
      </c>
      <c r="M56" s="83" t="s">
        <v>1046</v>
      </c>
      <c r="N56" s="83">
        <v>34</v>
      </c>
      <c r="O56" s="83" t="s">
        <v>1046</v>
      </c>
      <c r="P56" s="19" t="s">
        <v>994</v>
      </c>
    </row>
    <row r="57" spans="1:17" ht="15">
      <c r="A57" s="19" t="s">
        <v>1002</v>
      </c>
      <c r="B57" s="29" t="s">
        <v>1003</v>
      </c>
      <c r="C57" s="29" t="s">
        <v>1004</v>
      </c>
      <c r="D57" s="19" t="s">
        <v>993</v>
      </c>
      <c r="E57" s="19">
        <v>1981</v>
      </c>
      <c r="F57" s="19">
        <v>7</v>
      </c>
      <c r="G57" s="19">
        <v>13</v>
      </c>
      <c r="H57" s="28" t="s">
        <v>1047</v>
      </c>
      <c r="I57" s="37" t="s">
        <v>253</v>
      </c>
      <c r="J57" s="83">
        <v>41</v>
      </c>
      <c r="K57" s="83" t="s">
        <v>1046</v>
      </c>
      <c r="L57" s="83">
        <v>53</v>
      </c>
      <c r="M57" s="83" t="s">
        <v>1046</v>
      </c>
      <c r="N57" s="83">
        <v>22</v>
      </c>
      <c r="O57" s="83" t="s">
        <v>1046</v>
      </c>
      <c r="P57" s="19" t="s">
        <v>994</v>
      </c>
    </row>
    <row r="58" spans="1:17" ht="16" thickBot="1">
      <c r="A58" s="19" t="s">
        <v>1002</v>
      </c>
      <c r="B58" s="29" t="s">
        <v>1003</v>
      </c>
      <c r="C58" s="29" t="s">
        <v>1004</v>
      </c>
      <c r="D58" s="19" t="s">
        <v>993</v>
      </c>
      <c r="E58" s="19">
        <v>1981</v>
      </c>
      <c r="F58" s="19">
        <v>7</v>
      </c>
      <c r="G58" s="19">
        <v>15</v>
      </c>
      <c r="H58" s="28" t="s">
        <v>1047</v>
      </c>
      <c r="I58" s="61" t="s">
        <v>253</v>
      </c>
      <c r="J58" s="84">
        <v>57</v>
      </c>
      <c r="K58" s="84" t="s">
        <v>1046</v>
      </c>
      <c r="L58" s="84">
        <v>26</v>
      </c>
      <c r="M58" s="84" t="s">
        <v>1046</v>
      </c>
      <c r="N58" s="84">
        <v>15</v>
      </c>
      <c r="O58" s="84" t="s">
        <v>1046</v>
      </c>
      <c r="P58" s="19" t="s">
        <v>994</v>
      </c>
    </row>
    <row r="59" spans="1:17" ht="16" thickBot="1">
      <c r="A59" s="3"/>
      <c r="B59" s="5"/>
      <c r="C59" s="5"/>
      <c r="D59" s="3"/>
      <c r="E59" s="3"/>
      <c r="F59" s="3"/>
      <c r="G59" s="3"/>
      <c r="H59" s="57"/>
      <c r="I59" s="62" t="s">
        <v>995</v>
      </c>
      <c r="J59" s="67">
        <f>ROUND(AVERAGE(J47:J58),1)</f>
        <v>48.3</v>
      </c>
      <c r="K59" s="67">
        <f>ROUND(STDEV(J47:J58),1)</f>
        <v>10</v>
      </c>
      <c r="L59" s="67">
        <f>ROUND(AVERAGE(L47:L58),1)</f>
        <v>49.1</v>
      </c>
      <c r="M59" s="67">
        <f>ROUND(STDEV(L47:L58),1)</f>
        <v>17.7</v>
      </c>
      <c r="N59" s="67">
        <f>ROUND(AVERAGE(N47:N58),1)</f>
        <v>23.2</v>
      </c>
      <c r="O59" s="68">
        <f>ROUND(STDEV(N47:N58),1)</f>
        <v>7.6</v>
      </c>
      <c r="P59" s="3"/>
    </row>
    <row r="60" spans="1:17">
      <c r="A60" s="58"/>
      <c r="B60" s="58"/>
      <c r="C60" s="58"/>
      <c r="D60" s="58"/>
      <c r="E60" s="58"/>
      <c r="F60" s="58"/>
      <c r="G60" s="58"/>
      <c r="H60" s="58"/>
      <c r="I60" s="58"/>
      <c r="J60" s="79"/>
      <c r="K60" s="79"/>
      <c r="L60" s="79"/>
      <c r="M60" s="79"/>
      <c r="N60" s="79"/>
      <c r="O60" s="79"/>
      <c r="P60" s="3"/>
    </row>
    <row r="61" spans="1:17">
      <c r="A61" s="296"/>
      <c r="B61" s="296"/>
      <c r="C61" s="296"/>
      <c r="D61" s="296"/>
      <c r="E61" s="296"/>
      <c r="F61" s="296"/>
      <c r="G61" s="296"/>
      <c r="H61" s="296"/>
      <c r="I61" s="296"/>
      <c r="J61" s="412"/>
      <c r="K61" s="412"/>
      <c r="L61" s="412"/>
      <c r="M61" s="412"/>
      <c r="N61" s="412"/>
      <c r="O61" s="412"/>
      <c r="P61" s="293"/>
    </row>
    <row r="62" spans="1:17">
      <c r="A62" s="58"/>
      <c r="B62" s="58"/>
      <c r="C62" s="58"/>
      <c r="D62" s="58"/>
      <c r="E62" s="58"/>
      <c r="F62" s="58"/>
      <c r="G62" s="58"/>
      <c r="H62" s="58"/>
      <c r="I62" s="58"/>
      <c r="J62" s="79"/>
      <c r="K62" s="79"/>
      <c r="L62" s="79"/>
      <c r="M62" s="79"/>
      <c r="N62" s="79"/>
      <c r="O62" s="79"/>
      <c r="P62" s="3"/>
    </row>
    <row r="63" spans="1:17" s="26" customFormat="1" ht="15">
      <c r="A63" s="19" t="s">
        <v>1071</v>
      </c>
      <c r="B63" s="29" t="s">
        <v>942</v>
      </c>
      <c r="C63" s="29" t="s">
        <v>943</v>
      </c>
      <c r="D63" s="19" t="s">
        <v>1046</v>
      </c>
      <c r="E63" s="19" t="s">
        <v>944</v>
      </c>
      <c r="F63" s="19" t="s">
        <v>1046</v>
      </c>
      <c r="G63" s="19" t="s">
        <v>1046</v>
      </c>
      <c r="H63" s="28" t="s">
        <v>1047</v>
      </c>
      <c r="I63" s="28" t="s">
        <v>253</v>
      </c>
      <c r="J63" s="83">
        <v>176</v>
      </c>
      <c r="K63" s="83" t="s">
        <v>1046</v>
      </c>
      <c r="L63" s="83">
        <v>4</v>
      </c>
      <c r="M63" s="83" t="s">
        <v>1046</v>
      </c>
      <c r="N63" s="83">
        <v>7</v>
      </c>
      <c r="O63" s="83" t="s">
        <v>1046</v>
      </c>
      <c r="P63" s="19" t="s">
        <v>928</v>
      </c>
      <c r="Q63" s="63"/>
    </row>
    <row r="64" spans="1:17" s="26" customFormat="1" ht="15">
      <c r="A64" s="19" t="s">
        <v>1022</v>
      </c>
      <c r="B64" s="29" t="s">
        <v>942</v>
      </c>
      <c r="C64" s="29" t="s">
        <v>943</v>
      </c>
      <c r="D64" s="19" t="s">
        <v>1046</v>
      </c>
      <c r="E64" s="19" t="s">
        <v>944</v>
      </c>
      <c r="F64" s="19" t="s">
        <v>1046</v>
      </c>
      <c r="G64" s="19" t="s">
        <v>1046</v>
      </c>
      <c r="H64" s="28" t="s">
        <v>1047</v>
      </c>
      <c r="I64" s="28" t="s">
        <v>253</v>
      </c>
      <c r="J64" s="83">
        <v>153</v>
      </c>
      <c r="K64" s="83" t="s">
        <v>1046</v>
      </c>
      <c r="L64" s="83">
        <v>8</v>
      </c>
      <c r="M64" s="83" t="s">
        <v>1046</v>
      </c>
      <c r="N64" s="83">
        <v>13</v>
      </c>
      <c r="O64" s="83" t="s">
        <v>1046</v>
      </c>
      <c r="P64" s="19" t="s">
        <v>1271</v>
      </c>
      <c r="Q64" s="63"/>
    </row>
    <row r="65" spans="1:17" s="26" customFormat="1" ht="15">
      <c r="A65" s="19" t="s">
        <v>1022</v>
      </c>
      <c r="B65" s="29" t="s">
        <v>942</v>
      </c>
      <c r="C65" s="29" t="s">
        <v>943</v>
      </c>
      <c r="D65" s="19" t="s">
        <v>1046</v>
      </c>
      <c r="E65" s="19" t="s">
        <v>944</v>
      </c>
      <c r="F65" s="19" t="s">
        <v>1046</v>
      </c>
      <c r="G65" s="19" t="s">
        <v>1046</v>
      </c>
      <c r="H65" s="28" t="s">
        <v>1047</v>
      </c>
      <c r="I65" s="28" t="s">
        <v>253</v>
      </c>
      <c r="J65" s="83">
        <v>212</v>
      </c>
      <c r="K65" s="83" t="s">
        <v>1046</v>
      </c>
      <c r="L65" s="83">
        <v>7</v>
      </c>
      <c r="M65" s="83" t="s">
        <v>1046</v>
      </c>
      <c r="N65" s="83">
        <v>14</v>
      </c>
      <c r="O65" s="83" t="s">
        <v>1046</v>
      </c>
      <c r="P65" s="19" t="s">
        <v>1271</v>
      </c>
      <c r="Q65" s="63"/>
    </row>
    <row r="66" spans="1:17" s="26" customFormat="1" ht="15">
      <c r="A66" s="19" t="s">
        <v>1022</v>
      </c>
      <c r="B66" s="29" t="s">
        <v>942</v>
      </c>
      <c r="C66" s="29" t="s">
        <v>943</v>
      </c>
      <c r="D66" s="19" t="s">
        <v>1046</v>
      </c>
      <c r="E66" s="19" t="s">
        <v>944</v>
      </c>
      <c r="F66" s="19" t="s">
        <v>1046</v>
      </c>
      <c r="G66" s="19" t="s">
        <v>1046</v>
      </c>
      <c r="H66" s="28" t="s">
        <v>1047</v>
      </c>
      <c r="I66" s="28" t="s">
        <v>253</v>
      </c>
      <c r="J66" s="83">
        <v>177</v>
      </c>
      <c r="K66" s="83" t="s">
        <v>1046</v>
      </c>
      <c r="L66" s="83">
        <v>4</v>
      </c>
      <c r="M66" s="83" t="s">
        <v>1046</v>
      </c>
      <c r="N66" s="83">
        <v>7</v>
      </c>
      <c r="O66" s="83" t="s">
        <v>1046</v>
      </c>
      <c r="P66" s="19" t="s">
        <v>928</v>
      </c>
      <c r="Q66" s="63"/>
    </row>
    <row r="67" spans="1:17" s="26" customFormat="1" ht="15">
      <c r="A67" s="19" t="s">
        <v>1022</v>
      </c>
      <c r="B67" s="29" t="s">
        <v>942</v>
      </c>
      <c r="C67" s="29" t="s">
        <v>943</v>
      </c>
      <c r="D67" s="19" t="s">
        <v>1046</v>
      </c>
      <c r="E67" s="19" t="s">
        <v>944</v>
      </c>
      <c r="F67" s="19" t="s">
        <v>1046</v>
      </c>
      <c r="G67" s="19" t="s">
        <v>1046</v>
      </c>
      <c r="H67" s="28" t="s">
        <v>1047</v>
      </c>
      <c r="I67" s="28" t="s">
        <v>253</v>
      </c>
      <c r="J67" s="83">
        <v>168</v>
      </c>
      <c r="K67" s="83" t="s">
        <v>1046</v>
      </c>
      <c r="L67" s="83">
        <v>11</v>
      </c>
      <c r="M67" s="83" t="s">
        <v>1046</v>
      </c>
      <c r="N67" s="83">
        <v>18</v>
      </c>
      <c r="O67" s="83" t="s">
        <v>1046</v>
      </c>
      <c r="P67" s="19" t="s">
        <v>1176</v>
      </c>
      <c r="Q67" s="63"/>
    </row>
    <row r="68" spans="1:17" s="26" customFormat="1" ht="15">
      <c r="A68" s="19" t="s">
        <v>1022</v>
      </c>
      <c r="B68" s="29" t="s">
        <v>942</v>
      </c>
      <c r="C68" s="29" t="s">
        <v>943</v>
      </c>
      <c r="D68" s="19" t="s">
        <v>1046</v>
      </c>
      <c r="E68" s="19" t="s">
        <v>944</v>
      </c>
      <c r="F68" s="19" t="s">
        <v>1046</v>
      </c>
      <c r="G68" s="19" t="s">
        <v>1046</v>
      </c>
      <c r="H68" s="28" t="s">
        <v>1047</v>
      </c>
      <c r="I68" s="28" t="s">
        <v>253</v>
      </c>
      <c r="J68" s="83">
        <v>159</v>
      </c>
      <c r="K68" s="83" t="s">
        <v>1046</v>
      </c>
      <c r="L68" s="83">
        <v>5</v>
      </c>
      <c r="M68" s="83" t="s">
        <v>1046</v>
      </c>
      <c r="N68" s="83">
        <v>8</v>
      </c>
      <c r="O68" s="83" t="s">
        <v>1046</v>
      </c>
      <c r="P68" s="19" t="s">
        <v>928</v>
      </c>
      <c r="Q68" s="63"/>
    </row>
    <row r="69" spans="1:17" s="26" customFormat="1" ht="15">
      <c r="A69" s="19" t="s">
        <v>1022</v>
      </c>
      <c r="B69" s="29" t="s">
        <v>942</v>
      </c>
      <c r="C69" s="29" t="s">
        <v>943</v>
      </c>
      <c r="D69" s="19" t="s">
        <v>1046</v>
      </c>
      <c r="E69" s="19" t="s">
        <v>944</v>
      </c>
      <c r="F69" s="19" t="s">
        <v>1046</v>
      </c>
      <c r="G69" s="19" t="s">
        <v>1046</v>
      </c>
      <c r="H69" s="28" t="s">
        <v>1047</v>
      </c>
      <c r="I69" s="28" t="s">
        <v>253</v>
      </c>
      <c r="J69" s="83">
        <v>157</v>
      </c>
      <c r="K69" s="83" t="s">
        <v>1046</v>
      </c>
      <c r="L69" s="83">
        <v>3</v>
      </c>
      <c r="M69" s="83" t="s">
        <v>1046</v>
      </c>
      <c r="N69" s="83">
        <v>4</v>
      </c>
      <c r="O69" s="83" t="s">
        <v>1046</v>
      </c>
      <c r="P69" s="19" t="s">
        <v>928</v>
      </c>
      <c r="Q69" s="63"/>
    </row>
    <row r="70" spans="1:17" s="26" customFormat="1" ht="15">
      <c r="A70" s="19" t="s">
        <v>1022</v>
      </c>
      <c r="B70" s="29" t="s">
        <v>942</v>
      </c>
      <c r="C70" s="29" t="s">
        <v>943</v>
      </c>
      <c r="D70" s="19" t="s">
        <v>1046</v>
      </c>
      <c r="E70" s="19" t="s">
        <v>944</v>
      </c>
      <c r="F70" s="19" t="s">
        <v>1046</v>
      </c>
      <c r="G70" s="19" t="s">
        <v>1046</v>
      </c>
      <c r="H70" s="28" t="s">
        <v>1047</v>
      </c>
      <c r="I70" s="28" t="s">
        <v>253</v>
      </c>
      <c r="J70" s="83">
        <v>176</v>
      </c>
      <c r="K70" s="83" t="s">
        <v>1046</v>
      </c>
      <c r="L70" s="83">
        <v>3</v>
      </c>
      <c r="M70" s="83" t="s">
        <v>1046</v>
      </c>
      <c r="N70" s="83">
        <v>6</v>
      </c>
      <c r="O70" s="83" t="s">
        <v>1046</v>
      </c>
      <c r="P70" s="19" t="s">
        <v>928</v>
      </c>
      <c r="Q70" s="63"/>
    </row>
    <row r="71" spans="1:17" s="26" customFormat="1" ht="15">
      <c r="A71" s="19" t="s">
        <v>1022</v>
      </c>
      <c r="B71" s="29" t="s">
        <v>942</v>
      </c>
      <c r="C71" s="29" t="s">
        <v>943</v>
      </c>
      <c r="D71" s="19" t="s">
        <v>1046</v>
      </c>
      <c r="E71" s="19" t="s">
        <v>944</v>
      </c>
      <c r="F71" s="19" t="s">
        <v>1046</v>
      </c>
      <c r="G71" s="19" t="s">
        <v>1046</v>
      </c>
      <c r="H71" s="28" t="s">
        <v>1047</v>
      </c>
      <c r="I71" s="28" t="s">
        <v>253</v>
      </c>
      <c r="J71" s="83">
        <v>142</v>
      </c>
      <c r="K71" s="83" t="s">
        <v>1046</v>
      </c>
      <c r="L71" s="83">
        <v>18</v>
      </c>
      <c r="M71" s="83" t="s">
        <v>1046</v>
      </c>
      <c r="N71" s="83">
        <v>25</v>
      </c>
      <c r="O71" s="83" t="s">
        <v>1046</v>
      </c>
      <c r="P71" s="19" t="s">
        <v>1271</v>
      </c>
      <c r="Q71" s="63"/>
    </row>
    <row r="72" spans="1:17" s="26" customFormat="1" ht="15">
      <c r="A72" s="19" t="s">
        <v>1022</v>
      </c>
      <c r="B72" s="29" t="s">
        <v>942</v>
      </c>
      <c r="C72" s="29" t="s">
        <v>943</v>
      </c>
      <c r="D72" s="19" t="s">
        <v>1046</v>
      </c>
      <c r="E72" s="19" t="s">
        <v>944</v>
      </c>
      <c r="F72" s="19" t="s">
        <v>1046</v>
      </c>
      <c r="G72" s="19" t="s">
        <v>1046</v>
      </c>
      <c r="H72" s="28" t="s">
        <v>1047</v>
      </c>
      <c r="I72" s="28" t="s">
        <v>253</v>
      </c>
      <c r="J72" s="83">
        <v>173</v>
      </c>
      <c r="K72" s="83" t="s">
        <v>1046</v>
      </c>
      <c r="L72" s="83">
        <v>5</v>
      </c>
      <c r="M72" s="83" t="s">
        <v>1046</v>
      </c>
      <c r="N72" s="83">
        <v>9</v>
      </c>
      <c r="O72" s="83" t="s">
        <v>1046</v>
      </c>
      <c r="P72" s="19" t="s">
        <v>928</v>
      </c>
      <c r="Q72" s="63"/>
    </row>
    <row r="73" spans="1:17" s="26" customFormat="1" ht="15">
      <c r="A73" s="19" t="s">
        <v>1022</v>
      </c>
      <c r="B73" s="29" t="s">
        <v>942</v>
      </c>
      <c r="C73" s="29" t="s">
        <v>943</v>
      </c>
      <c r="D73" s="19" t="s">
        <v>1046</v>
      </c>
      <c r="E73" s="19" t="s">
        <v>944</v>
      </c>
      <c r="F73" s="19" t="s">
        <v>1046</v>
      </c>
      <c r="G73" s="19" t="s">
        <v>1046</v>
      </c>
      <c r="H73" s="28" t="s">
        <v>1047</v>
      </c>
      <c r="I73" s="28" t="s">
        <v>253</v>
      </c>
      <c r="J73" s="83">
        <v>151</v>
      </c>
      <c r="K73" s="83" t="s">
        <v>1046</v>
      </c>
      <c r="L73" s="83">
        <v>9</v>
      </c>
      <c r="M73" s="83" t="s">
        <v>1046</v>
      </c>
      <c r="N73" s="83">
        <v>13</v>
      </c>
      <c r="O73" s="83" t="s">
        <v>1046</v>
      </c>
      <c r="P73" s="19" t="s">
        <v>1271</v>
      </c>
      <c r="Q73" s="63"/>
    </row>
    <row r="74" spans="1:17" s="26" customFormat="1" ht="16" thickBot="1">
      <c r="A74" s="19" t="s">
        <v>1022</v>
      </c>
      <c r="B74" s="29" t="s">
        <v>942</v>
      </c>
      <c r="C74" s="29" t="s">
        <v>943</v>
      </c>
      <c r="D74" s="19" t="s">
        <v>1046</v>
      </c>
      <c r="E74" s="19" t="s">
        <v>944</v>
      </c>
      <c r="F74" s="19" t="s">
        <v>1046</v>
      </c>
      <c r="G74" s="19" t="s">
        <v>1046</v>
      </c>
      <c r="H74" s="28" t="s">
        <v>1047</v>
      </c>
      <c r="I74" s="69" t="s">
        <v>253</v>
      </c>
      <c r="J74" s="84">
        <v>156</v>
      </c>
      <c r="K74" s="84" t="s">
        <v>1046</v>
      </c>
      <c r="L74" s="84">
        <v>11</v>
      </c>
      <c r="M74" s="84" t="s">
        <v>1046</v>
      </c>
      <c r="N74" s="84">
        <v>17</v>
      </c>
      <c r="O74" s="84" t="s">
        <v>1046</v>
      </c>
      <c r="P74" s="19" t="s">
        <v>1176</v>
      </c>
      <c r="Q74" s="63"/>
    </row>
    <row r="75" spans="1:17" s="26" customFormat="1" ht="15">
      <c r="A75" s="3"/>
      <c r="B75" s="5"/>
      <c r="C75" s="5"/>
      <c r="D75" s="3"/>
      <c r="E75" s="3"/>
      <c r="F75" s="3"/>
      <c r="G75" s="3"/>
      <c r="H75" s="57"/>
      <c r="I75" s="47" t="s">
        <v>345</v>
      </c>
      <c r="J75" s="258">
        <f>ROUND(AVERAGE(J63,J66,J68,J69,J70,J72),1)</f>
        <v>169.7</v>
      </c>
      <c r="K75" s="258">
        <f>ROUND(STDEV(J63,J66,J68,J69,J70,J72),1)</f>
        <v>9.1999999999999993</v>
      </c>
      <c r="L75" s="258">
        <f>ROUND(AVERAGE(L63,L66,L68,L69,L70,L72),1)</f>
        <v>4</v>
      </c>
      <c r="M75" s="258">
        <f>ROUND(STDEV(L63,L66,L68,L69,L70,L72),1)</f>
        <v>0.9</v>
      </c>
      <c r="N75" s="258">
        <f>ROUND(AVERAGE(N63,N66,N68,N69,N70,N72),1)</f>
        <v>6.8</v>
      </c>
      <c r="O75" s="259">
        <f>ROUND(STDEV(N63,N66,N68,N69,N70,N72),1)</f>
        <v>1.7</v>
      </c>
      <c r="P75" s="3"/>
      <c r="Q75" s="63"/>
    </row>
    <row r="76" spans="1:17" s="26" customFormat="1" ht="15">
      <c r="A76" s="3"/>
      <c r="B76" s="5"/>
      <c r="C76" s="5"/>
      <c r="D76" s="3"/>
      <c r="E76" s="3"/>
      <c r="F76" s="3"/>
      <c r="G76" s="3"/>
      <c r="H76" s="57"/>
      <c r="I76" s="48" t="s">
        <v>437</v>
      </c>
      <c r="J76" s="260">
        <f>ROUND(AVERAGE(J67,J74),1)</f>
        <v>162</v>
      </c>
      <c r="K76" s="260" t="s">
        <v>532</v>
      </c>
      <c r="L76" s="260">
        <f t="shared" ref="L76:N76" si="2">ROUND(AVERAGE(L67,L74),1)</f>
        <v>11</v>
      </c>
      <c r="M76" s="260" t="s">
        <v>532</v>
      </c>
      <c r="N76" s="260">
        <f t="shared" si="2"/>
        <v>17.5</v>
      </c>
      <c r="O76" s="261" t="s">
        <v>532</v>
      </c>
      <c r="P76" s="3"/>
      <c r="Q76" s="63"/>
    </row>
    <row r="77" spans="1:17" s="1" customFormat="1" ht="16" thickBot="1">
      <c r="A77" s="3"/>
      <c r="B77" s="5"/>
      <c r="C77" s="5"/>
      <c r="D77" s="3"/>
      <c r="E77" s="3"/>
      <c r="F77" s="3"/>
      <c r="G77" s="3"/>
      <c r="H77" s="57"/>
      <c r="I77" s="49" t="s">
        <v>570</v>
      </c>
      <c r="J77" s="262">
        <f>J75+J76</f>
        <v>331.7</v>
      </c>
      <c r="K77" s="262" t="s">
        <v>94</v>
      </c>
      <c r="L77" s="262">
        <f>ROUND(AVERAGE(L75,L76),1)</f>
        <v>7.5</v>
      </c>
      <c r="M77" s="262" t="s">
        <v>95</v>
      </c>
      <c r="N77" s="262">
        <f>ROUND(SUM(N75,N76),1)</f>
        <v>24.3</v>
      </c>
      <c r="O77" s="263" t="s">
        <v>344</v>
      </c>
      <c r="P77" s="3"/>
      <c r="Q77" s="64"/>
    </row>
    <row r="78" spans="1:17" s="1" customFormat="1" ht="15">
      <c r="A78" s="3"/>
      <c r="B78" s="5"/>
      <c r="C78" s="5"/>
      <c r="D78" s="3"/>
      <c r="E78" s="3"/>
      <c r="F78" s="3"/>
      <c r="G78" s="3"/>
      <c r="H78" s="57"/>
      <c r="I78" s="57"/>
      <c r="J78" s="80"/>
      <c r="K78" s="80"/>
      <c r="L78" s="80"/>
      <c r="M78" s="80"/>
      <c r="N78" s="80"/>
      <c r="O78" s="80"/>
      <c r="P78" s="3"/>
      <c r="Q78" s="64"/>
    </row>
    <row r="79" spans="1:17" s="1" customFormat="1" ht="15">
      <c r="A79" s="293"/>
      <c r="B79" s="297"/>
      <c r="C79" s="297"/>
      <c r="D79" s="293"/>
      <c r="E79" s="293"/>
      <c r="F79" s="293"/>
      <c r="G79" s="293"/>
      <c r="H79" s="348"/>
      <c r="I79" s="348"/>
      <c r="J79" s="299"/>
      <c r="K79" s="299"/>
      <c r="L79" s="299"/>
      <c r="M79" s="299"/>
      <c r="N79" s="299"/>
      <c r="O79" s="299"/>
      <c r="P79" s="293"/>
      <c r="Q79" s="64"/>
    </row>
    <row r="80" spans="1:17" s="1" customFormat="1" ht="16" thickBot="1">
      <c r="A80" s="3"/>
      <c r="B80" s="5"/>
      <c r="C80" s="5"/>
      <c r="D80" s="3"/>
      <c r="E80" s="3"/>
      <c r="F80" s="3"/>
      <c r="G80" s="3"/>
      <c r="H80" s="57"/>
      <c r="I80" s="57"/>
      <c r="J80" s="80"/>
      <c r="K80" s="80"/>
      <c r="L80" s="80"/>
      <c r="M80" s="80"/>
      <c r="N80" s="80"/>
      <c r="O80" s="80"/>
      <c r="P80" s="3"/>
      <c r="Q80" s="64"/>
    </row>
    <row r="81" spans="1:17" s="26" customFormat="1" ht="16" thickBot="1">
      <c r="A81" s="19" t="s">
        <v>948</v>
      </c>
      <c r="B81" s="29" t="s">
        <v>949</v>
      </c>
      <c r="C81" s="29" t="s">
        <v>478</v>
      </c>
      <c r="D81" s="19" t="s">
        <v>610</v>
      </c>
      <c r="E81" s="19">
        <v>1997</v>
      </c>
      <c r="F81" s="34" t="s">
        <v>611</v>
      </c>
      <c r="G81" s="19" t="s">
        <v>986</v>
      </c>
      <c r="H81" s="82" t="s">
        <v>1047</v>
      </c>
      <c r="I81" s="62" t="s">
        <v>224</v>
      </c>
      <c r="J81" s="67" t="s">
        <v>951</v>
      </c>
      <c r="K81" s="67" t="s">
        <v>253</v>
      </c>
      <c r="L81" s="67" t="s">
        <v>253</v>
      </c>
      <c r="M81" s="67" t="s">
        <v>253</v>
      </c>
      <c r="N81" s="67">
        <v>42.7</v>
      </c>
      <c r="O81" s="68" t="s">
        <v>253</v>
      </c>
      <c r="P81" s="30" t="s">
        <v>60</v>
      </c>
      <c r="Q81" s="63"/>
    </row>
    <row r="82" spans="1:17" s="1" customFormat="1" ht="15">
      <c r="A82" s="3"/>
      <c r="B82" s="5"/>
      <c r="C82" s="5"/>
      <c r="D82" s="3"/>
      <c r="E82" s="3"/>
      <c r="F82" s="44"/>
      <c r="G82" s="3"/>
      <c r="H82" s="57"/>
      <c r="I82" s="57"/>
      <c r="J82" s="80"/>
      <c r="K82" s="80"/>
      <c r="L82" s="80"/>
      <c r="M82" s="80"/>
      <c r="N82" s="80"/>
      <c r="O82" s="80"/>
      <c r="P82" s="3"/>
      <c r="Q82" s="64"/>
    </row>
    <row r="83" spans="1:17" s="1" customFormat="1" ht="15">
      <c r="A83" s="293"/>
      <c r="B83" s="297"/>
      <c r="C83" s="297"/>
      <c r="D83" s="293"/>
      <c r="E83" s="293"/>
      <c r="F83" s="349"/>
      <c r="G83" s="293"/>
      <c r="H83" s="348"/>
      <c r="I83" s="348"/>
      <c r="J83" s="299"/>
      <c r="K83" s="299"/>
      <c r="L83" s="299"/>
      <c r="M83" s="299"/>
      <c r="N83" s="299"/>
      <c r="O83" s="299"/>
      <c r="P83" s="293"/>
      <c r="Q83" s="64"/>
    </row>
    <row r="84" spans="1:17" s="1" customFormat="1" ht="16" thickBot="1">
      <c r="A84" s="3"/>
      <c r="B84" s="5"/>
      <c r="C84" s="5"/>
      <c r="D84" s="3"/>
      <c r="E84" s="3"/>
      <c r="F84" s="44"/>
      <c r="G84" s="3"/>
      <c r="H84" s="57"/>
      <c r="I84" s="57"/>
      <c r="J84" s="80"/>
      <c r="K84" s="80"/>
      <c r="L84" s="80"/>
      <c r="M84" s="80"/>
      <c r="N84" s="80"/>
      <c r="O84" s="80"/>
      <c r="P84" s="3"/>
      <c r="Q84" s="64"/>
    </row>
    <row r="85" spans="1:17" s="26" customFormat="1" ht="16" thickBot="1">
      <c r="A85" s="19" t="s">
        <v>989</v>
      </c>
      <c r="B85" s="29" t="s">
        <v>990</v>
      </c>
      <c r="C85" s="29" t="s">
        <v>991</v>
      </c>
      <c r="D85" s="19" t="s">
        <v>703</v>
      </c>
      <c r="E85" s="19">
        <v>1997</v>
      </c>
      <c r="F85" s="19">
        <v>6</v>
      </c>
      <c r="G85" s="19">
        <v>10</v>
      </c>
      <c r="H85" s="82" t="s">
        <v>1047</v>
      </c>
      <c r="I85" s="62" t="s">
        <v>556</v>
      </c>
      <c r="J85" s="67" t="s">
        <v>253</v>
      </c>
      <c r="K85" s="67" t="s">
        <v>253</v>
      </c>
      <c r="L85" s="67" t="s">
        <v>253</v>
      </c>
      <c r="M85" s="67" t="s">
        <v>253</v>
      </c>
      <c r="N85" s="67">
        <v>36.700000000000003</v>
      </c>
      <c r="O85" s="68">
        <v>7</v>
      </c>
      <c r="P85" s="30" t="s">
        <v>612</v>
      </c>
      <c r="Q85" s="63"/>
    </row>
    <row r="86" spans="1:17" s="1" customFormat="1" ht="15">
      <c r="A86" s="3"/>
      <c r="B86" s="5"/>
      <c r="C86" s="5"/>
      <c r="D86" s="3"/>
      <c r="E86" s="3"/>
      <c r="F86" s="3"/>
      <c r="G86" s="3"/>
      <c r="H86" s="57"/>
      <c r="I86" s="57"/>
      <c r="J86" s="80"/>
      <c r="K86" s="80"/>
      <c r="L86" s="80"/>
      <c r="M86" s="80"/>
      <c r="N86" s="80"/>
      <c r="O86" s="80"/>
      <c r="P86" s="3"/>
      <c r="Q86" s="64"/>
    </row>
    <row r="87" spans="1:17" s="1" customFormat="1" ht="15">
      <c r="A87" s="293"/>
      <c r="B87" s="297"/>
      <c r="C87" s="297"/>
      <c r="D87" s="293"/>
      <c r="E87" s="293"/>
      <c r="F87" s="293"/>
      <c r="G87" s="293"/>
      <c r="H87" s="348"/>
      <c r="I87" s="348"/>
      <c r="J87" s="299"/>
      <c r="K87" s="299"/>
      <c r="L87" s="299"/>
      <c r="M87" s="299"/>
      <c r="N87" s="299"/>
      <c r="O87" s="299"/>
      <c r="P87" s="293"/>
      <c r="Q87" s="64"/>
    </row>
    <row r="88" spans="1:17" s="1" customFormat="1" ht="16" thickBot="1">
      <c r="A88" s="3"/>
      <c r="B88" s="5"/>
      <c r="C88" s="5"/>
      <c r="D88" s="3"/>
      <c r="E88" s="3"/>
      <c r="F88" s="3"/>
      <c r="G88" s="3"/>
      <c r="H88" s="57"/>
      <c r="I88" s="57"/>
      <c r="J88" s="80"/>
      <c r="K88" s="80"/>
      <c r="L88" s="80"/>
      <c r="M88" s="80"/>
      <c r="N88" s="80"/>
      <c r="O88" s="80"/>
      <c r="P88" s="3"/>
      <c r="Q88" s="64"/>
    </row>
    <row r="89" spans="1:17" s="1" customFormat="1" ht="15">
      <c r="A89" s="249" t="s">
        <v>375</v>
      </c>
      <c r="B89" s="266" t="s">
        <v>308</v>
      </c>
      <c r="C89" s="266" t="s">
        <v>193</v>
      </c>
      <c r="D89" s="267" t="s">
        <v>310</v>
      </c>
      <c r="E89" s="267" t="s">
        <v>532</v>
      </c>
      <c r="F89" s="267" t="s">
        <v>532</v>
      </c>
      <c r="G89" s="267" t="s">
        <v>532</v>
      </c>
      <c r="H89" s="268" t="s">
        <v>305</v>
      </c>
      <c r="I89" s="269" t="s">
        <v>65</v>
      </c>
      <c r="J89" s="258" t="s">
        <v>532</v>
      </c>
      <c r="K89" s="258" t="s">
        <v>532</v>
      </c>
      <c r="L89" s="258" t="s">
        <v>532</v>
      </c>
      <c r="M89" s="258" t="s">
        <v>532</v>
      </c>
      <c r="N89" s="258">
        <v>83</v>
      </c>
      <c r="O89" s="258" t="s">
        <v>532</v>
      </c>
      <c r="P89" s="270" t="s">
        <v>460</v>
      </c>
      <c r="Q89" s="64"/>
    </row>
    <row r="90" spans="1:17" s="1" customFormat="1" ht="15">
      <c r="A90" s="250" t="s">
        <v>375</v>
      </c>
      <c r="B90" s="29" t="s">
        <v>194</v>
      </c>
      <c r="C90" s="29" t="s">
        <v>64</v>
      </c>
      <c r="D90" s="19" t="s">
        <v>520</v>
      </c>
      <c r="E90" s="19" t="s">
        <v>532</v>
      </c>
      <c r="F90" s="19" t="s">
        <v>532</v>
      </c>
      <c r="G90" s="19" t="s">
        <v>532</v>
      </c>
      <c r="H90" s="28" t="s">
        <v>305</v>
      </c>
      <c r="I90" s="37" t="s">
        <v>66</v>
      </c>
      <c r="J90" s="260" t="s">
        <v>532</v>
      </c>
      <c r="K90" s="260" t="s">
        <v>532</v>
      </c>
      <c r="L90" s="260" t="s">
        <v>532</v>
      </c>
      <c r="M90" s="260" t="s">
        <v>532</v>
      </c>
      <c r="N90" s="260">
        <v>30.4</v>
      </c>
      <c r="O90" s="260" t="s">
        <v>532</v>
      </c>
      <c r="P90" s="251" t="s">
        <v>460</v>
      </c>
      <c r="Q90" s="64"/>
    </row>
    <row r="91" spans="1:17" s="1" customFormat="1" ht="15">
      <c r="A91" s="250" t="s">
        <v>375</v>
      </c>
      <c r="B91" s="29" t="s">
        <v>527</v>
      </c>
      <c r="C91" s="29" t="s">
        <v>539</v>
      </c>
      <c r="D91" s="19" t="s">
        <v>521</v>
      </c>
      <c r="E91" s="19" t="s">
        <v>532</v>
      </c>
      <c r="F91" s="19" t="s">
        <v>532</v>
      </c>
      <c r="G91" s="19" t="s">
        <v>532</v>
      </c>
      <c r="H91" s="28" t="s">
        <v>305</v>
      </c>
      <c r="I91" s="37" t="s">
        <v>66</v>
      </c>
      <c r="J91" s="260" t="s">
        <v>532</v>
      </c>
      <c r="K91" s="260" t="s">
        <v>532</v>
      </c>
      <c r="L91" s="260" t="s">
        <v>532</v>
      </c>
      <c r="M91" s="260" t="s">
        <v>532</v>
      </c>
      <c r="N91" s="260">
        <v>25.2</v>
      </c>
      <c r="O91" s="260" t="s">
        <v>532</v>
      </c>
      <c r="P91" s="251" t="s">
        <v>460</v>
      </c>
      <c r="Q91" s="64"/>
    </row>
    <row r="92" spans="1:17" s="1" customFormat="1" ht="15">
      <c r="A92" s="250" t="s">
        <v>375</v>
      </c>
      <c r="B92" s="29" t="s">
        <v>306</v>
      </c>
      <c r="C92" s="29" t="s">
        <v>307</v>
      </c>
      <c r="D92" s="19" t="s">
        <v>522</v>
      </c>
      <c r="E92" s="19" t="s">
        <v>532</v>
      </c>
      <c r="F92" s="19" t="s">
        <v>532</v>
      </c>
      <c r="G92" s="19" t="s">
        <v>532</v>
      </c>
      <c r="H92" s="28" t="s">
        <v>305</v>
      </c>
      <c r="I92" s="37" t="s">
        <v>66</v>
      </c>
      <c r="J92" s="260" t="s">
        <v>532</v>
      </c>
      <c r="K92" s="260" t="s">
        <v>532</v>
      </c>
      <c r="L92" s="260" t="s">
        <v>532</v>
      </c>
      <c r="M92" s="260" t="s">
        <v>532</v>
      </c>
      <c r="N92" s="260">
        <v>50.6</v>
      </c>
      <c r="O92" s="260" t="s">
        <v>532</v>
      </c>
      <c r="P92" s="251" t="s">
        <v>460</v>
      </c>
      <c r="Q92" s="64"/>
    </row>
    <row r="93" spans="1:17" s="1" customFormat="1" ht="15">
      <c r="A93" s="250" t="s">
        <v>375</v>
      </c>
      <c r="B93" s="29" t="s">
        <v>540</v>
      </c>
      <c r="C93" s="29" t="s">
        <v>541</v>
      </c>
      <c r="D93" s="19" t="s">
        <v>635</v>
      </c>
      <c r="E93" s="19" t="s">
        <v>532</v>
      </c>
      <c r="F93" s="19" t="s">
        <v>532</v>
      </c>
      <c r="G93" s="19" t="s">
        <v>532</v>
      </c>
      <c r="H93" s="28" t="s">
        <v>305</v>
      </c>
      <c r="I93" s="37" t="s">
        <v>66</v>
      </c>
      <c r="J93" s="260" t="s">
        <v>532</v>
      </c>
      <c r="K93" s="260" t="s">
        <v>532</v>
      </c>
      <c r="L93" s="260" t="s">
        <v>532</v>
      </c>
      <c r="M93" s="260" t="s">
        <v>532</v>
      </c>
      <c r="N93" s="260">
        <v>40.6</v>
      </c>
      <c r="O93" s="260" t="s">
        <v>532</v>
      </c>
      <c r="P93" s="251" t="s">
        <v>460</v>
      </c>
      <c r="Q93" s="64"/>
    </row>
    <row r="94" spans="1:17" s="1" customFormat="1" ht="16" thickBot="1">
      <c r="A94" s="252" t="s">
        <v>375</v>
      </c>
      <c r="B94" s="271" t="s">
        <v>659</v>
      </c>
      <c r="C94" s="271" t="s">
        <v>660</v>
      </c>
      <c r="D94" s="253" t="s">
        <v>636</v>
      </c>
      <c r="E94" s="253" t="s">
        <v>532</v>
      </c>
      <c r="F94" s="253" t="s">
        <v>532</v>
      </c>
      <c r="G94" s="253" t="s">
        <v>532</v>
      </c>
      <c r="H94" s="272" t="s">
        <v>305</v>
      </c>
      <c r="I94" s="273" t="s">
        <v>66</v>
      </c>
      <c r="J94" s="262" t="s">
        <v>532</v>
      </c>
      <c r="K94" s="262" t="s">
        <v>532</v>
      </c>
      <c r="L94" s="262" t="s">
        <v>532</v>
      </c>
      <c r="M94" s="262" t="s">
        <v>532</v>
      </c>
      <c r="N94" s="262">
        <v>55.6</v>
      </c>
      <c r="O94" s="262" t="s">
        <v>532</v>
      </c>
      <c r="P94" s="254" t="s">
        <v>460</v>
      </c>
      <c r="Q94" s="64"/>
    </row>
    <row r="95" spans="1:17" s="1" customFormat="1" ht="15">
      <c r="A95" s="3"/>
      <c r="B95" s="5"/>
      <c r="C95" s="5"/>
      <c r="D95" s="3"/>
      <c r="E95" s="3"/>
      <c r="F95" s="3"/>
      <c r="G95" s="3"/>
      <c r="H95" s="57"/>
      <c r="I95" s="59"/>
      <c r="J95" s="265"/>
      <c r="K95" s="265"/>
      <c r="L95" s="265"/>
      <c r="M95" s="265"/>
      <c r="N95" s="265"/>
      <c r="O95" s="265"/>
      <c r="P95" s="3"/>
      <c r="Q95" s="64"/>
    </row>
    <row r="96" spans="1:17" s="1" customFormat="1" ht="15">
      <c r="A96" s="19" t="s">
        <v>375</v>
      </c>
      <c r="B96" s="29" t="s">
        <v>370</v>
      </c>
      <c r="C96" s="29" t="s">
        <v>371</v>
      </c>
      <c r="D96" s="19" t="s">
        <v>637</v>
      </c>
      <c r="E96" s="19" t="s">
        <v>532</v>
      </c>
      <c r="F96" s="19" t="s">
        <v>532</v>
      </c>
      <c r="G96" s="19" t="s">
        <v>532</v>
      </c>
      <c r="H96" s="28" t="s">
        <v>305</v>
      </c>
      <c r="I96" s="28" t="s">
        <v>65</v>
      </c>
      <c r="J96" s="76" t="s">
        <v>532</v>
      </c>
      <c r="K96" s="76" t="s">
        <v>532</v>
      </c>
      <c r="L96" s="76" t="s">
        <v>532</v>
      </c>
      <c r="M96" s="76" t="s">
        <v>532</v>
      </c>
      <c r="N96" s="76">
        <v>106.4</v>
      </c>
      <c r="O96" s="76" t="s">
        <v>532</v>
      </c>
      <c r="P96" s="19" t="s">
        <v>460</v>
      </c>
      <c r="Q96" s="64"/>
    </row>
    <row r="97" spans="1:17" s="1" customFormat="1" ht="16" thickBot="1">
      <c r="A97" s="19" t="s">
        <v>375</v>
      </c>
      <c r="B97" s="29" t="s">
        <v>370</v>
      </c>
      <c r="C97" s="29" t="s">
        <v>371</v>
      </c>
      <c r="D97" s="19" t="s">
        <v>637</v>
      </c>
      <c r="E97" s="19" t="s">
        <v>532</v>
      </c>
      <c r="F97" s="19" t="s">
        <v>532</v>
      </c>
      <c r="G97" s="19" t="s">
        <v>532</v>
      </c>
      <c r="H97" s="28" t="s">
        <v>305</v>
      </c>
      <c r="I97" s="69" t="s">
        <v>66</v>
      </c>
      <c r="J97" s="77" t="s">
        <v>532</v>
      </c>
      <c r="K97" s="77" t="s">
        <v>532</v>
      </c>
      <c r="L97" s="77" t="s">
        <v>532</v>
      </c>
      <c r="M97" s="77" t="s">
        <v>532</v>
      </c>
      <c r="N97" s="77">
        <v>151.80000000000001</v>
      </c>
      <c r="O97" s="77" t="s">
        <v>532</v>
      </c>
      <c r="P97" s="19" t="s">
        <v>460</v>
      </c>
      <c r="Q97" s="64"/>
    </row>
    <row r="98" spans="1:17" s="1" customFormat="1" ht="16" thickBot="1">
      <c r="A98" s="3"/>
      <c r="B98" s="5"/>
      <c r="C98" s="5"/>
      <c r="D98" s="3"/>
      <c r="E98" s="3"/>
      <c r="F98" s="3"/>
      <c r="G98" s="3"/>
      <c r="H98" s="57"/>
      <c r="I98" s="62" t="s">
        <v>66</v>
      </c>
      <c r="J98" s="274" t="s">
        <v>532</v>
      </c>
      <c r="K98" s="274" t="s">
        <v>265</v>
      </c>
      <c r="L98" s="274" t="s">
        <v>189</v>
      </c>
      <c r="M98" s="274" t="s">
        <v>189</v>
      </c>
      <c r="N98" s="274">
        <f>AVERAGE(N96:N97)</f>
        <v>129.10000000000002</v>
      </c>
      <c r="O98" s="275" t="s">
        <v>532</v>
      </c>
      <c r="P98" s="3"/>
      <c r="Q98" s="64"/>
    </row>
    <row r="99" spans="1:17" s="1" customFormat="1" ht="15">
      <c r="A99" s="3"/>
      <c r="B99" s="5"/>
      <c r="C99" s="5"/>
      <c r="D99" s="3"/>
      <c r="E99" s="3"/>
      <c r="F99" s="3"/>
      <c r="G99" s="3"/>
      <c r="H99" s="57"/>
      <c r="I99" s="57"/>
      <c r="J99" s="80"/>
      <c r="K99" s="80"/>
      <c r="L99" s="80"/>
      <c r="M99" s="80"/>
      <c r="N99" s="80"/>
      <c r="O99" s="80"/>
      <c r="P99" s="3"/>
      <c r="Q99" s="64"/>
    </row>
    <row r="100" spans="1:17" s="1" customFormat="1" ht="15">
      <c r="A100" s="293"/>
      <c r="B100" s="297"/>
      <c r="C100" s="297"/>
      <c r="D100" s="293"/>
      <c r="E100" s="293"/>
      <c r="F100" s="293"/>
      <c r="G100" s="293"/>
      <c r="H100" s="348"/>
      <c r="I100" s="348"/>
      <c r="J100" s="299"/>
      <c r="K100" s="299"/>
      <c r="L100" s="299"/>
      <c r="M100" s="299"/>
      <c r="N100" s="299"/>
      <c r="O100" s="299"/>
      <c r="P100" s="293"/>
      <c r="Q100" s="64"/>
    </row>
    <row r="101" spans="1:17" s="1" customFormat="1" ht="15">
      <c r="A101" s="3"/>
      <c r="B101" s="5"/>
      <c r="C101" s="5"/>
      <c r="D101" s="3"/>
      <c r="E101" s="3"/>
      <c r="F101" s="3"/>
      <c r="G101" s="3"/>
      <c r="H101" s="57"/>
      <c r="I101" s="57"/>
      <c r="J101" s="80"/>
      <c r="K101" s="80"/>
      <c r="L101" s="80"/>
      <c r="M101" s="80"/>
      <c r="N101" s="80"/>
      <c r="O101" s="80"/>
      <c r="P101" s="3"/>
      <c r="Q101" s="64"/>
    </row>
    <row r="102" spans="1:17" s="26" customFormat="1" ht="15">
      <c r="A102" s="19" t="s">
        <v>641</v>
      </c>
      <c r="B102" s="29" t="s">
        <v>642</v>
      </c>
      <c r="C102" s="29" t="s">
        <v>643</v>
      </c>
      <c r="D102" s="19" t="s">
        <v>644</v>
      </c>
      <c r="E102" s="19">
        <v>1997</v>
      </c>
      <c r="F102" s="72">
        <v>7</v>
      </c>
      <c r="G102" s="19">
        <v>1</v>
      </c>
      <c r="H102" s="28" t="s">
        <v>1047</v>
      </c>
      <c r="I102" s="28" t="s">
        <v>645</v>
      </c>
      <c r="J102" s="83">
        <v>37.049999999999997</v>
      </c>
      <c r="K102" s="83" t="s">
        <v>253</v>
      </c>
      <c r="L102" s="83">
        <f>(N102/J102)*100</f>
        <v>44.183535762483139</v>
      </c>
      <c r="M102" s="83" t="s">
        <v>253</v>
      </c>
      <c r="N102" s="83">
        <v>16.37</v>
      </c>
      <c r="O102" s="83" t="s">
        <v>253</v>
      </c>
      <c r="P102" s="19" t="s">
        <v>646</v>
      </c>
      <c r="Q102" s="63"/>
    </row>
    <row r="103" spans="1:17" s="26" customFormat="1" ht="15">
      <c r="A103" s="19" t="s">
        <v>641</v>
      </c>
      <c r="B103" s="29" t="s">
        <v>642</v>
      </c>
      <c r="C103" s="29" t="s">
        <v>643</v>
      </c>
      <c r="D103" s="19" t="s">
        <v>846</v>
      </c>
      <c r="E103" s="19">
        <v>1997</v>
      </c>
      <c r="F103" s="72">
        <v>7</v>
      </c>
      <c r="G103" s="19">
        <v>1</v>
      </c>
      <c r="H103" s="28" t="s">
        <v>1047</v>
      </c>
      <c r="I103" s="28" t="s">
        <v>647</v>
      </c>
      <c r="J103" s="83">
        <v>0.65</v>
      </c>
      <c r="K103" s="83" t="s">
        <v>253</v>
      </c>
      <c r="L103" s="83">
        <f t="shared" ref="L103:L166" si="3">(N103/J103)*100</f>
        <v>100</v>
      </c>
      <c r="M103" s="83" t="s">
        <v>253</v>
      </c>
      <c r="N103" s="83">
        <v>0.65</v>
      </c>
      <c r="O103" s="83" t="s">
        <v>253</v>
      </c>
      <c r="P103" s="19" t="s">
        <v>646</v>
      </c>
      <c r="Q103" s="63"/>
    </row>
    <row r="104" spans="1:17" s="26" customFormat="1" ht="15">
      <c r="A104" s="19" t="s">
        <v>641</v>
      </c>
      <c r="B104" s="29" t="s">
        <v>642</v>
      </c>
      <c r="C104" s="29" t="s">
        <v>643</v>
      </c>
      <c r="D104" s="19" t="s">
        <v>846</v>
      </c>
      <c r="E104" s="19">
        <v>1997</v>
      </c>
      <c r="F104" s="72">
        <v>7</v>
      </c>
      <c r="G104" s="19">
        <v>1</v>
      </c>
      <c r="H104" s="28" t="s">
        <v>1047</v>
      </c>
      <c r="I104" s="28" t="s">
        <v>780</v>
      </c>
      <c r="J104" s="83">
        <v>1.19</v>
      </c>
      <c r="K104" s="83" t="s">
        <v>253</v>
      </c>
      <c r="L104" s="83">
        <f t="shared" si="3"/>
        <v>93.277310924369758</v>
      </c>
      <c r="M104" s="83" t="s">
        <v>253</v>
      </c>
      <c r="N104" s="83">
        <v>1.1100000000000001</v>
      </c>
      <c r="O104" s="83" t="s">
        <v>253</v>
      </c>
      <c r="P104" s="19" t="s">
        <v>646</v>
      </c>
      <c r="Q104" s="63"/>
    </row>
    <row r="105" spans="1:17" s="26" customFormat="1" ht="15">
      <c r="A105" s="19" t="s">
        <v>641</v>
      </c>
      <c r="B105" s="29" t="s">
        <v>642</v>
      </c>
      <c r="C105" s="29" t="s">
        <v>643</v>
      </c>
      <c r="D105" s="19" t="s">
        <v>846</v>
      </c>
      <c r="E105" s="19">
        <v>1997</v>
      </c>
      <c r="F105" s="72">
        <v>7</v>
      </c>
      <c r="G105" s="19">
        <v>1</v>
      </c>
      <c r="H105" s="28" t="s">
        <v>1047</v>
      </c>
      <c r="I105" s="28" t="s">
        <v>781</v>
      </c>
      <c r="J105" s="83">
        <v>3.47</v>
      </c>
      <c r="K105" s="83" t="s">
        <v>253</v>
      </c>
      <c r="L105" s="83">
        <f t="shared" si="3"/>
        <v>64.553314121037459</v>
      </c>
      <c r="M105" s="83" t="s">
        <v>253</v>
      </c>
      <c r="N105" s="83">
        <v>2.2400000000000002</v>
      </c>
      <c r="O105" s="83" t="s">
        <v>253</v>
      </c>
      <c r="P105" s="19" t="s">
        <v>646</v>
      </c>
      <c r="Q105" s="63"/>
    </row>
    <row r="106" spans="1:17" s="26" customFormat="1" ht="15">
      <c r="A106" s="19" t="s">
        <v>641</v>
      </c>
      <c r="B106" s="29" t="s">
        <v>642</v>
      </c>
      <c r="C106" s="29" t="s">
        <v>643</v>
      </c>
      <c r="D106" s="19" t="s">
        <v>846</v>
      </c>
      <c r="E106" s="19">
        <v>1997</v>
      </c>
      <c r="F106" s="72">
        <v>7</v>
      </c>
      <c r="G106" s="19">
        <v>1</v>
      </c>
      <c r="H106" s="28" t="s">
        <v>1047</v>
      </c>
      <c r="I106" s="28" t="s">
        <v>1067</v>
      </c>
      <c r="J106" s="83">
        <v>2.9</v>
      </c>
      <c r="K106" s="83" t="s">
        <v>253</v>
      </c>
      <c r="L106" s="83">
        <f t="shared" si="3"/>
        <v>38.275862068965523</v>
      </c>
      <c r="M106" s="83" t="s">
        <v>253</v>
      </c>
      <c r="N106" s="83">
        <v>1.1100000000000001</v>
      </c>
      <c r="O106" s="83" t="s">
        <v>253</v>
      </c>
      <c r="P106" s="19" t="s">
        <v>646</v>
      </c>
      <c r="Q106" s="63"/>
    </row>
    <row r="107" spans="1:17" s="26" customFormat="1" ht="15">
      <c r="A107" s="19" t="s">
        <v>641</v>
      </c>
      <c r="B107" s="29" t="s">
        <v>642</v>
      </c>
      <c r="C107" s="29" t="s">
        <v>643</v>
      </c>
      <c r="D107" s="19" t="s">
        <v>846</v>
      </c>
      <c r="E107" s="19">
        <v>1997</v>
      </c>
      <c r="F107" s="72">
        <v>7</v>
      </c>
      <c r="G107" s="19">
        <v>1</v>
      </c>
      <c r="H107" s="28" t="s">
        <v>1047</v>
      </c>
      <c r="I107" s="28" t="s">
        <v>1174</v>
      </c>
      <c r="J107" s="83">
        <v>4.71</v>
      </c>
      <c r="K107" s="83" t="s">
        <v>253</v>
      </c>
      <c r="L107" s="83">
        <f t="shared" si="3"/>
        <v>60.297239915074307</v>
      </c>
      <c r="M107" s="83" t="s">
        <v>253</v>
      </c>
      <c r="N107" s="83">
        <v>2.84</v>
      </c>
      <c r="O107" s="83" t="s">
        <v>253</v>
      </c>
      <c r="P107" s="19" t="s">
        <v>646</v>
      </c>
      <c r="Q107" s="63"/>
    </row>
    <row r="108" spans="1:17" s="26" customFormat="1" ht="15">
      <c r="A108" s="19" t="s">
        <v>641</v>
      </c>
      <c r="B108" s="29" t="s">
        <v>642</v>
      </c>
      <c r="C108" s="29" t="s">
        <v>643</v>
      </c>
      <c r="D108" s="19" t="s">
        <v>846</v>
      </c>
      <c r="E108" s="19">
        <v>1997</v>
      </c>
      <c r="F108" s="72">
        <v>7</v>
      </c>
      <c r="G108" s="19">
        <v>1</v>
      </c>
      <c r="H108" s="28" t="s">
        <v>1047</v>
      </c>
      <c r="I108" s="28" t="s">
        <v>1175</v>
      </c>
      <c r="J108" s="83">
        <v>1.51</v>
      </c>
      <c r="K108" s="83" t="s">
        <v>253</v>
      </c>
      <c r="L108" s="83">
        <f t="shared" si="3"/>
        <v>70.19867549668875</v>
      </c>
      <c r="M108" s="83" t="s">
        <v>253</v>
      </c>
      <c r="N108" s="83">
        <v>1.06</v>
      </c>
      <c r="O108" s="83" t="s">
        <v>253</v>
      </c>
      <c r="P108" s="19" t="s">
        <v>646</v>
      </c>
      <c r="Q108" s="63"/>
    </row>
    <row r="109" spans="1:17" s="26" customFormat="1" ht="15">
      <c r="A109" s="19" t="s">
        <v>641</v>
      </c>
      <c r="B109" s="29" t="s">
        <v>642</v>
      </c>
      <c r="C109" s="29" t="s">
        <v>643</v>
      </c>
      <c r="D109" s="19" t="s">
        <v>846</v>
      </c>
      <c r="E109" s="19">
        <v>1997</v>
      </c>
      <c r="F109" s="72">
        <v>7</v>
      </c>
      <c r="G109" s="19">
        <v>1</v>
      </c>
      <c r="H109" s="28" t="s">
        <v>1047</v>
      </c>
      <c r="I109" s="28" t="s">
        <v>1180</v>
      </c>
      <c r="J109" s="83">
        <v>0.49</v>
      </c>
      <c r="K109" s="83" t="s">
        <v>253</v>
      </c>
      <c r="L109" s="83">
        <f t="shared" si="3"/>
        <v>71.428571428571431</v>
      </c>
      <c r="M109" s="83" t="s">
        <v>253</v>
      </c>
      <c r="N109" s="83">
        <v>0.35</v>
      </c>
      <c r="O109" s="83" t="s">
        <v>253</v>
      </c>
      <c r="P109" s="19" t="s">
        <v>646</v>
      </c>
      <c r="Q109" s="63"/>
    </row>
    <row r="110" spans="1:17" s="26" customFormat="1" ht="15">
      <c r="A110" s="19" t="s">
        <v>641</v>
      </c>
      <c r="B110" s="29" t="s">
        <v>642</v>
      </c>
      <c r="C110" s="29" t="s">
        <v>643</v>
      </c>
      <c r="D110" s="19" t="s">
        <v>846</v>
      </c>
      <c r="E110" s="19">
        <v>1997</v>
      </c>
      <c r="F110" s="72">
        <v>7</v>
      </c>
      <c r="G110" s="19">
        <v>1</v>
      </c>
      <c r="H110" s="28" t="s">
        <v>1047</v>
      </c>
      <c r="I110" s="28" t="s">
        <v>1181</v>
      </c>
      <c r="J110" s="83">
        <v>6.86</v>
      </c>
      <c r="K110" s="83" t="s">
        <v>253</v>
      </c>
      <c r="L110" s="83">
        <f t="shared" si="3"/>
        <v>81.632653061224474</v>
      </c>
      <c r="M110" s="83" t="s">
        <v>253</v>
      </c>
      <c r="N110" s="83">
        <v>5.6</v>
      </c>
      <c r="O110" s="83" t="s">
        <v>253</v>
      </c>
      <c r="P110" s="19" t="s">
        <v>646</v>
      </c>
      <c r="Q110" s="63"/>
    </row>
    <row r="111" spans="1:17" s="26" customFormat="1" ht="15">
      <c r="A111" s="19" t="s">
        <v>641</v>
      </c>
      <c r="B111" s="29" t="s">
        <v>642</v>
      </c>
      <c r="C111" s="29" t="s">
        <v>643</v>
      </c>
      <c r="D111" s="19" t="s">
        <v>846</v>
      </c>
      <c r="E111" s="19">
        <v>1997</v>
      </c>
      <c r="F111" s="72">
        <v>7</v>
      </c>
      <c r="G111" s="19">
        <v>1</v>
      </c>
      <c r="H111" s="28" t="s">
        <v>1047</v>
      </c>
      <c r="I111" s="28" t="s">
        <v>1182</v>
      </c>
      <c r="J111" s="83">
        <v>4.0199999999999996</v>
      </c>
      <c r="K111" s="83" t="s">
        <v>253</v>
      </c>
      <c r="L111" s="83">
        <f t="shared" si="3"/>
        <v>83.582089552238813</v>
      </c>
      <c r="M111" s="83" t="s">
        <v>253</v>
      </c>
      <c r="N111" s="83">
        <v>3.36</v>
      </c>
      <c r="O111" s="83" t="s">
        <v>253</v>
      </c>
      <c r="P111" s="19" t="s">
        <v>646</v>
      </c>
      <c r="Q111" s="63"/>
    </row>
    <row r="112" spans="1:17" s="26" customFormat="1" ht="15">
      <c r="A112" s="19" t="s">
        <v>641</v>
      </c>
      <c r="B112" s="29" t="s">
        <v>642</v>
      </c>
      <c r="C112" s="29" t="s">
        <v>643</v>
      </c>
      <c r="D112" s="19" t="s">
        <v>846</v>
      </c>
      <c r="E112" s="19">
        <v>1997</v>
      </c>
      <c r="F112" s="72">
        <v>7</v>
      </c>
      <c r="G112" s="19">
        <v>1</v>
      </c>
      <c r="H112" s="28" t="s">
        <v>1047</v>
      </c>
      <c r="I112" s="28" t="s">
        <v>1054</v>
      </c>
      <c r="J112" s="83">
        <v>3.55</v>
      </c>
      <c r="K112" s="83" t="s">
        <v>253</v>
      </c>
      <c r="L112" s="83">
        <f t="shared" si="3"/>
        <v>78.873239436619713</v>
      </c>
      <c r="M112" s="83" t="s">
        <v>253</v>
      </c>
      <c r="N112" s="83">
        <v>2.8</v>
      </c>
      <c r="O112" s="83" t="s">
        <v>253</v>
      </c>
      <c r="P112" s="19" t="s">
        <v>646</v>
      </c>
      <c r="Q112" s="63"/>
    </row>
    <row r="113" spans="1:17" s="26" customFormat="1" ht="15">
      <c r="A113" s="19" t="s">
        <v>641</v>
      </c>
      <c r="B113" s="29" t="s">
        <v>642</v>
      </c>
      <c r="C113" s="29" t="s">
        <v>643</v>
      </c>
      <c r="D113" s="19" t="s">
        <v>846</v>
      </c>
      <c r="E113" s="19">
        <v>1997</v>
      </c>
      <c r="F113" s="72">
        <v>7</v>
      </c>
      <c r="G113" s="19">
        <v>1</v>
      </c>
      <c r="H113" s="28" t="s">
        <v>1047</v>
      </c>
      <c r="I113" s="28" t="s">
        <v>485</v>
      </c>
      <c r="J113" s="83">
        <v>75</v>
      </c>
      <c r="K113" s="83" t="s">
        <v>253</v>
      </c>
      <c r="L113" s="83">
        <f t="shared" si="3"/>
        <v>50.666666666666671</v>
      </c>
      <c r="M113" s="83" t="s">
        <v>253</v>
      </c>
      <c r="N113" s="83">
        <v>38</v>
      </c>
      <c r="O113" s="83" t="s">
        <v>253</v>
      </c>
      <c r="P113" s="19" t="s">
        <v>646</v>
      </c>
      <c r="Q113" s="63"/>
    </row>
    <row r="114" spans="1:17" s="26" customFormat="1" ht="15">
      <c r="A114" s="19" t="s">
        <v>641</v>
      </c>
      <c r="B114" s="29" t="s">
        <v>642</v>
      </c>
      <c r="C114" s="29" t="s">
        <v>643</v>
      </c>
      <c r="D114" s="19" t="s">
        <v>644</v>
      </c>
      <c r="E114" s="19">
        <v>2000</v>
      </c>
      <c r="F114" s="72">
        <v>6</v>
      </c>
      <c r="G114" s="19">
        <v>17</v>
      </c>
      <c r="H114" s="28" t="s">
        <v>1047</v>
      </c>
      <c r="I114" s="28" t="s">
        <v>645</v>
      </c>
      <c r="J114" s="83">
        <v>59.39</v>
      </c>
      <c r="K114" s="83" t="s">
        <v>253</v>
      </c>
      <c r="L114" s="83">
        <f t="shared" si="3"/>
        <v>31.015322444856043</v>
      </c>
      <c r="M114" s="83" t="s">
        <v>253</v>
      </c>
      <c r="N114" s="83">
        <v>18.420000000000002</v>
      </c>
      <c r="O114" s="83" t="s">
        <v>253</v>
      </c>
      <c r="P114" s="19" t="s">
        <v>1055</v>
      </c>
      <c r="Q114" s="63"/>
    </row>
    <row r="115" spans="1:17" s="26" customFormat="1" ht="15">
      <c r="A115" s="19" t="s">
        <v>641</v>
      </c>
      <c r="B115" s="29" t="s">
        <v>642</v>
      </c>
      <c r="C115" s="29" t="s">
        <v>643</v>
      </c>
      <c r="D115" s="19" t="s">
        <v>846</v>
      </c>
      <c r="E115" s="19">
        <v>2000</v>
      </c>
      <c r="F115" s="72">
        <v>6</v>
      </c>
      <c r="G115" s="19">
        <v>17</v>
      </c>
      <c r="H115" s="28" t="s">
        <v>1047</v>
      </c>
      <c r="I115" s="28" t="s">
        <v>647</v>
      </c>
      <c r="J115" s="83">
        <v>0.38</v>
      </c>
      <c r="K115" s="83" t="s">
        <v>253</v>
      </c>
      <c r="L115" s="83">
        <f t="shared" si="3"/>
        <v>100</v>
      </c>
      <c r="M115" s="83" t="s">
        <v>253</v>
      </c>
      <c r="N115" s="83">
        <v>0.38</v>
      </c>
      <c r="O115" s="83" t="s">
        <v>253</v>
      </c>
      <c r="P115" s="19" t="s">
        <v>1055</v>
      </c>
      <c r="Q115" s="63"/>
    </row>
    <row r="116" spans="1:17" s="26" customFormat="1" ht="15">
      <c r="A116" s="19" t="s">
        <v>641</v>
      </c>
      <c r="B116" s="29" t="s">
        <v>642</v>
      </c>
      <c r="C116" s="29" t="s">
        <v>643</v>
      </c>
      <c r="D116" s="19" t="s">
        <v>846</v>
      </c>
      <c r="E116" s="19">
        <v>2000</v>
      </c>
      <c r="F116" s="72">
        <v>6</v>
      </c>
      <c r="G116" s="19">
        <v>17</v>
      </c>
      <c r="H116" s="28" t="s">
        <v>1047</v>
      </c>
      <c r="I116" s="28" t="s">
        <v>780</v>
      </c>
      <c r="J116" s="83">
        <v>0.91</v>
      </c>
      <c r="K116" s="83" t="s">
        <v>253</v>
      </c>
      <c r="L116" s="83">
        <f t="shared" si="3"/>
        <v>71.428571428571431</v>
      </c>
      <c r="M116" s="83" t="s">
        <v>253</v>
      </c>
      <c r="N116" s="83">
        <v>0.65</v>
      </c>
      <c r="O116" s="83" t="s">
        <v>253</v>
      </c>
      <c r="P116" s="19" t="s">
        <v>1055</v>
      </c>
      <c r="Q116" s="63"/>
    </row>
    <row r="117" spans="1:17" s="26" customFormat="1" ht="15">
      <c r="A117" s="19" t="s">
        <v>641</v>
      </c>
      <c r="B117" s="29" t="s">
        <v>642</v>
      </c>
      <c r="C117" s="29" t="s">
        <v>643</v>
      </c>
      <c r="D117" s="19" t="s">
        <v>846</v>
      </c>
      <c r="E117" s="19">
        <v>2000</v>
      </c>
      <c r="F117" s="72">
        <v>6</v>
      </c>
      <c r="G117" s="19">
        <v>17</v>
      </c>
      <c r="H117" s="28" t="s">
        <v>1047</v>
      </c>
      <c r="I117" s="28" t="s">
        <v>781</v>
      </c>
      <c r="J117" s="83">
        <v>5.2</v>
      </c>
      <c r="K117" s="83" t="s">
        <v>253</v>
      </c>
      <c r="L117" s="83">
        <f t="shared" si="3"/>
        <v>64.423076923076934</v>
      </c>
      <c r="M117" s="83" t="s">
        <v>253</v>
      </c>
      <c r="N117" s="83">
        <v>3.35</v>
      </c>
      <c r="O117" s="83" t="s">
        <v>253</v>
      </c>
      <c r="P117" s="19" t="s">
        <v>1055</v>
      </c>
      <c r="Q117" s="63"/>
    </row>
    <row r="118" spans="1:17" s="26" customFormat="1" ht="15">
      <c r="A118" s="19" t="s">
        <v>641</v>
      </c>
      <c r="B118" s="29" t="s">
        <v>642</v>
      </c>
      <c r="C118" s="29" t="s">
        <v>643</v>
      </c>
      <c r="D118" s="19" t="s">
        <v>846</v>
      </c>
      <c r="E118" s="19">
        <v>2000</v>
      </c>
      <c r="F118" s="72">
        <v>6</v>
      </c>
      <c r="G118" s="19">
        <v>17</v>
      </c>
      <c r="H118" s="28" t="s">
        <v>1047</v>
      </c>
      <c r="I118" s="28" t="s">
        <v>1067</v>
      </c>
      <c r="J118" s="83">
        <v>2.0099999999999998</v>
      </c>
      <c r="K118" s="83" t="s">
        <v>253</v>
      </c>
      <c r="L118" s="83">
        <f t="shared" si="3"/>
        <v>35.323383084577117</v>
      </c>
      <c r="M118" s="83" t="s">
        <v>253</v>
      </c>
      <c r="N118" s="83">
        <v>0.71</v>
      </c>
      <c r="O118" s="83" t="s">
        <v>253</v>
      </c>
      <c r="P118" s="19" t="s">
        <v>1055</v>
      </c>
      <c r="Q118" s="63"/>
    </row>
    <row r="119" spans="1:17" s="26" customFormat="1" ht="15">
      <c r="A119" s="19" t="s">
        <v>641</v>
      </c>
      <c r="B119" s="29" t="s">
        <v>642</v>
      </c>
      <c r="C119" s="29" t="s">
        <v>643</v>
      </c>
      <c r="D119" s="19" t="s">
        <v>846</v>
      </c>
      <c r="E119" s="19">
        <v>2000</v>
      </c>
      <c r="F119" s="72">
        <v>6</v>
      </c>
      <c r="G119" s="19">
        <v>17</v>
      </c>
      <c r="H119" s="28" t="s">
        <v>1047</v>
      </c>
      <c r="I119" s="28" t="s">
        <v>1174</v>
      </c>
      <c r="J119" s="83">
        <v>1.7</v>
      </c>
      <c r="K119" s="83" t="s">
        <v>253</v>
      </c>
      <c r="L119" s="83">
        <f t="shared" si="3"/>
        <v>61.764705882352942</v>
      </c>
      <c r="M119" s="83" t="s">
        <v>253</v>
      </c>
      <c r="N119" s="83">
        <v>1.05</v>
      </c>
      <c r="O119" s="83" t="s">
        <v>253</v>
      </c>
      <c r="P119" s="19" t="s">
        <v>1055</v>
      </c>
      <c r="Q119" s="63"/>
    </row>
    <row r="120" spans="1:17" s="26" customFormat="1" ht="15">
      <c r="A120" s="19" t="s">
        <v>641</v>
      </c>
      <c r="B120" s="29" t="s">
        <v>642</v>
      </c>
      <c r="C120" s="29" t="s">
        <v>643</v>
      </c>
      <c r="D120" s="19" t="s">
        <v>846</v>
      </c>
      <c r="E120" s="19">
        <v>2000</v>
      </c>
      <c r="F120" s="72">
        <v>6</v>
      </c>
      <c r="G120" s="19">
        <v>17</v>
      </c>
      <c r="H120" s="28" t="s">
        <v>1047</v>
      </c>
      <c r="I120" s="28" t="s">
        <v>1175</v>
      </c>
      <c r="J120" s="83">
        <v>1.85</v>
      </c>
      <c r="K120" s="83" t="s">
        <v>253</v>
      </c>
      <c r="L120" s="83">
        <f t="shared" si="3"/>
        <v>87.027027027027032</v>
      </c>
      <c r="M120" s="83" t="s">
        <v>253</v>
      </c>
      <c r="N120" s="83">
        <v>1.61</v>
      </c>
      <c r="O120" s="83" t="s">
        <v>253</v>
      </c>
      <c r="P120" s="19" t="s">
        <v>1055</v>
      </c>
      <c r="Q120" s="63"/>
    </row>
    <row r="121" spans="1:17" s="26" customFormat="1" ht="15">
      <c r="A121" s="19" t="s">
        <v>641</v>
      </c>
      <c r="B121" s="29" t="s">
        <v>642</v>
      </c>
      <c r="C121" s="29" t="s">
        <v>643</v>
      </c>
      <c r="D121" s="19" t="s">
        <v>846</v>
      </c>
      <c r="E121" s="19">
        <v>2000</v>
      </c>
      <c r="F121" s="72">
        <v>6</v>
      </c>
      <c r="G121" s="19">
        <v>17</v>
      </c>
      <c r="H121" s="28" t="s">
        <v>1047</v>
      </c>
      <c r="I121" s="28" t="s">
        <v>1180</v>
      </c>
      <c r="J121" s="83">
        <v>0.83</v>
      </c>
      <c r="K121" s="83" t="s">
        <v>253</v>
      </c>
      <c r="L121" s="83">
        <f t="shared" si="3"/>
        <v>79.518072289156635</v>
      </c>
      <c r="M121" s="83" t="s">
        <v>253</v>
      </c>
      <c r="N121" s="83">
        <v>0.66</v>
      </c>
      <c r="O121" s="83" t="s">
        <v>253</v>
      </c>
      <c r="P121" s="19" t="s">
        <v>1055</v>
      </c>
      <c r="Q121" s="63"/>
    </row>
    <row r="122" spans="1:17" s="26" customFormat="1" ht="15">
      <c r="A122" s="19" t="s">
        <v>641</v>
      </c>
      <c r="B122" s="29" t="s">
        <v>642</v>
      </c>
      <c r="C122" s="29" t="s">
        <v>643</v>
      </c>
      <c r="D122" s="19" t="s">
        <v>846</v>
      </c>
      <c r="E122" s="19">
        <v>2000</v>
      </c>
      <c r="F122" s="72">
        <v>6</v>
      </c>
      <c r="G122" s="19">
        <v>17</v>
      </c>
      <c r="H122" s="28" t="s">
        <v>1047</v>
      </c>
      <c r="I122" s="28" t="s">
        <v>1181</v>
      </c>
      <c r="J122" s="83">
        <v>7.09</v>
      </c>
      <c r="K122" s="83" t="s">
        <v>253</v>
      </c>
      <c r="L122" s="83">
        <f t="shared" si="3"/>
        <v>92.383638928067697</v>
      </c>
      <c r="M122" s="83" t="s">
        <v>253</v>
      </c>
      <c r="N122" s="83">
        <v>6.55</v>
      </c>
      <c r="O122" s="83" t="s">
        <v>253</v>
      </c>
      <c r="P122" s="19" t="s">
        <v>1055</v>
      </c>
      <c r="Q122" s="63"/>
    </row>
    <row r="123" spans="1:17" s="26" customFormat="1" ht="15">
      <c r="A123" s="19" t="s">
        <v>641</v>
      </c>
      <c r="B123" s="29" t="s">
        <v>642</v>
      </c>
      <c r="C123" s="29" t="s">
        <v>643</v>
      </c>
      <c r="D123" s="19" t="s">
        <v>846</v>
      </c>
      <c r="E123" s="19">
        <v>2000</v>
      </c>
      <c r="F123" s="72">
        <v>6</v>
      </c>
      <c r="G123" s="19">
        <v>17</v>
      </c>
      <c r="H123" s="28" t="s">
        <v>1047</v>
      </c>
      <c r="I123" s="28" t="s">
        <v>1182</v>
      </c>
      <c r="J123" s="83">
        <v>3.8</v>
      </c>
      <c r="K123" s="83" t="s">
        <v>253</v>
      </c>
      <c r="L123" s="83">
        <f t="shared" si="3"/>
        <v>73.157894736842096</v>
      </c>
      <c r="M123" s="83" t="s">
        <v>253</v>
      </c>
      <c r="N123" s="83">
        <v>2.78</v>
      </c>
      <c r="O123" s="83" t="s">
        <v>253</v>
      </c>
      <c r="P123" s="19" t="s">
        <v>1055</v>
      </c>
      <c r="Q123" s="63"/>
    </row>
    <row r="124" spans="1:17" s="26" customFormat="1" ht="15">
      <c r="A124" s="19" t="s">
        <v>641</v>
      </c>
      <c r="B124" s="29" t="s">
        <v>642</v>
      </c>
      <c r="C124" s="29" t="s">
        <v>643</v>
      </c>
      <c r="D124" s="19" t="s">
        <v>846</v>
      </c>
      <c r="E124" s="19">
        <v>2000</v>
      </c>
      <c r="F124" s="72">
        <v>6</v>
      </c>
      <c r="G124" s="19">
        <v>17</v>
      </c>
      <c r="H124" s="28" t="s">
        <v>1047</v>
      </c>
      <c r="I124" s="28" t="s">
        <v>1054</v>
      </c>
      <c r="J124" s="83">
        <v>2.4300000000000002</v>
      </c>
      <c r="K124" s="83" t="s">
        <v>253</v>
      </c>
      <c r="L124" s="83">
        <f t="shared" si="3"/>
        <v>34.567901234567898</v>
      </c>
      <c r="M124" s="83" t="s">
        <v>253</v>
      </c>
      <c r="N124" s="83">
        <v>0.84</v>
      </c>
      <c r="O124" s="83" t="s">
        <v>253</v>
      </c>
      <c r="P124" s="19" t="s">
        <v>1055</v>
      </c>
      <c r="Q124" s="63"/>
    </row>
    <row r="125" spans="1:17" s="26" customFormat="1" ht="15">
      <c r="A125" s="19" t="s">
        <v>641</v>
      </c>
      <c r="B125" s="29" t="s">
        <v>642</v>
      </c>
      <c r="C125" s="29" t="s">
        <v>643</v>
      </c>
      <c r="D125" s="19" t="s">
        <v>846</v>
      </c>
      <c r="E125" s="19">
        <v>2000</v>
      </c>
      <c r="F125" s="72">
        <v>6</v>
      </c>
      <c r="G125" s="19">
        <v>17</v>
      </c>
      <c r="H125" s="28" t="s">
        <v>1047</v>
      </c>
      <c r="I125" s="28" t="s">
        <v>485</v>
      </c>
      <c r="J125" s="83">
        <v>95</v>
      </c>
      <c r="K125" s="83" t="s">
        <v>1046</v>
      </c>
      <c r="L125" s="83">
        <f t="shared" si="3"/>
        <v>38.94736842105263</v>
      </c>
      <c r="M125" s="83" t="s">
        <v>253</v>
      </c>
      <c r="N125" s="83">
        <v>37</v>
      </c>
      <c r="O125" s="83" t="s">
        <v>253</v>
      </c>
      <c r="P125" s="19" t="s">
        <v>1055</v>
      </c>
      <c r="Q125" s="63"/>
    </row>
    <row r="126" spans="1:17" s="26" customFormat="1" ht="15">
      <c r="A126" s="19" t="s">
        <v>641</v>
      </c>
      <c r="B126" s="29" t="s">
        <v>642</v>
      </c>
      <c r="C126" s="29" t="s">
        <v>643</v>
      </c>
      <c r="D126" s="19" t="s">
        <v>644</v>
      </c>
      <c r="E126" s="19">
        <v>1999</v>
      </c>
      <c r="F126" s="72">
        <v>6</v>
      </c>
      <c r="G126" s="19">
        <v>29</v>
      </c>
      <c r="H126" s="28" t="s">
        <v>1047</v>
      </c>
      <c r="I126" s="28" t="s">
        <v>645</v>
      </c>
      <c r="J126" s="83">
        <v>48.63</v>
      </c>
      <c r="K126" s="83" t="s">
        <v>253</v>
      </c>
      <c r="L126" s="83">
        <f t="shared" si="3"/>
        <v>23.976968949208306</v>
      </c>
      <c r="M126" s="83" t="s">
        <v>253</v>
      </c>
      <c r="N126" s="83">
        <v>11.66</v>
      </c>
      <c r="O126" s="83" t="s">
        <v>253</v>
      </c>
      <c r="P126" s="19" t="s">
        <v>1056</v>
      </c>
      <c r="Q126" s="63"/>
    </row>
    <row r="127" spans="1:17" s="26" customFormat="1" ht="15">
      <c r="A127" s="19" t="s">
        <v>641</v>
      </c>
      <c r="B127" s="29" t="s">
        <v>642</v>
      </c>
      <c r="C127" s="29" t="s">
        <v>643</v>
      </c>
      <c r="D127" s="19" t="s">
        <v>846</v>
      </c>
      <c r="E127" s="19">
        <v>1999</v>
      </c>
      <c r="F127" s="72">
        <v>6</v>
      </c>
      <c r="G127" s="19">
        <v>29</v>
      </c>
      <c r="H127" s="28" t="s">
        <v>1047</v>
      </c>
      <c r="I127" s="28" t="s">
        <v>647</v>
      </c>
      <c r="J127" s="83">
        <v>0.7</v>
      </c>
      <c r="K127" s="83" t="s">
        <v>253</v>
      </c>
      <c r="L127" s="83">
        <f t="shared" si="3"/>
        <v>92.857142857142875</v>
      </c>
      <c r="M127" s="83" t="s">
        <v>253</v>
      </c>
      <c r="N127" s="83">
        <v>0.65</v>
      </c>
      <c r="O127" s="83" t="s">
        <v>253</v>
      </c>
      <c r="P127" s="19" t="s">
        <v>1056</v>
      </c>
      <c r="Q127" s="63"/>
    </row>
    <row r="128" spans="1:17" s="26" customFormat="1" ht="15">
      <c r="A128" s="19" t="s">
        <v>641</v>
      </c>
      <c r="B128" s="29" t="s">
        <v>642</v>
      </c>
      <c r="C128" s="29" t="s">
        <v>643</v>
      </c>
      <c r="D128" s="19" t="s">
        <v>846</v>
      </c>
      <c r="E128" s="19">
        <v>1999</v>
      </c>
      <c r="F128" s="72">
        <v>6</v>
      </c>
      <c r="G128" s="19">
        <v>29</v>
      </c>
      <c r="H128" s="28" t="s">
        <v>1047</v>
      </c>
      <c r="I128" s="28" t="s">
        <v>780</v>
      </c>
      <c r="J128" s="83">
        <v>0.65</v>
      </c>
      <c r="K128" s="83" t="s">
        <v>253</v>
      </c>
      <c r="L128" s="83">
        <f t="shared" si="3"/>
        <v>53.846153846153847</v>
      </c>
      <c r="M128" s="83" t="s">
        <v>253</v>
      </c>
      <c r="N128" s="83">
        <v>0.35</v>
      </c>
      <c r="O128" s="83" t="s">
        <v>253</v>
      </c>
      <c r="P128" s="19" t="s">
        <v>1056</v>
      </c>
      <c r="Q128" s="63"/>
    </row>
    <row r="129" spans="1:17" s="26" customFormat="1" ht="15">
      <c r="A129" s="19" t="s">
        <v>641</v>
      </c>
      <c r="B129" s="29" t="s">
        <v>642</v>
      </c>
      <c r="C129" s="29" t="s">
        <v>643</v>
      </c>
      <c r="D129" s="19" t="s">
        <v>846</v>
      </c>
      <c r="E129" s="19">
        <v>1999</v>
      </c>
      <c r="F129" s="72">
        <v>6</v>
      </c>
      <c r="G129" s="19">
        <v>29</v>
      </c>
      <c r="H129" s="28" t="s">
        <v>1047</v>
      </c>
      <c r="I129" s="28" t="s">
        <v>781</v>
      </c>
      <c r="J129" s="83">
        <v>2.2200000000000002</v>
      </c>
      <c r="K129" s="83" t="s">
        <v>253</v>
      </c>
      <c r="L129" s="83">
        <f t="shared" si="3"/>
        <v>47.747747747747752</v>
      </c>
      <c r="M129" s="83" t="s">
        <v>253</v>
      </c>
      <c r="N129" s="83">
        <v>1.06</v>
      </c>
      <c r="O129" s="83" t="s">
        <v>253</v>
      </c>
      <c r="P129" s="19" t="s">
        <v>1056</v>
      </c>
      <c r="Q129" s="63"/>
    </row>
    <row r="130" spans="1:17" s="26" customFormat="1" ht="15">
      <c r="A130" s="19" t="s">
        <v>641</v>
      </c>
      <c r="B130" s="29" t="s">
        <v>642</v>
      </c>
      <c r="C130" s="29" t="s">
        <v>643</v>
      </c>
      <c r="D130" s="19" t="s">
        <v>846</v>
      </c>
      <c r="E130" s="19">
        <v>1999</v>
      </c>
      <c r="F130" s="72">
        <v>6</v>
      </c>
      <c r="G130" s="19">
        <v>29</v>
      </c>
      <c r="H130" s="28" t="s">
        <v>1047</v>
      </c>
      <c r="I130" s="28" t="s">
        <v>1067</v>
      </c>
      <c r="J130" s="83">
        <v>1.76</v>
      </c>
      <c r="K130" s="83" t="s">
        <v>253</v>
      </c>
      <c r="L130" s="83">
        <f t="shared" si="3"/>
        <v>39.772727272727273</v>
      </c>
      <c r="M130" s="83" t="s">
        <v>253</v>
      </c>
      <c r="N130" s="83">
        <v>0.7</v>
      </c>
      <c r="O130" s="83" t="s">
        <v>253</v>
      </c>
      <c r="P130" s="19" t="s">
        <v>1056</v>
      </c>
      <c r="Q130" s="63"/>
    </row>
    <row r="131" spans="1:17" s="26" customFormat="1" ht="15">
      <c r="A131" s="19" t="s">
        <v>641</v>
      </c>
      <c r="B131" s="29" t="s">
        <v>642</v>
      </c>
      <c r="C131" s="29" t="s">
        <v>643</v>
      </c>
      <c r="D131" s="19" t="s">
        <v>846</v>
      </c>
      <c r="E131" s="19">
        <v>1999</v>
      </c>
      <c r="F131" s="72">
        <v>6</v>
      </c>
      <c r="G131" s="19">
        <v>29</v>
      </c>
      <c r="H131" s="28" t="s">
        <v>1047</v>
      </c>
      <c r="I131" s="28" t="s">
        <v>1174</v>
      </c>
      <c r="J131" s="83">
        <v>4.4400000000000004</v>
      </c>
      <c r="K131" s="83" t="s">
        <v>253</v>
      </c>
      <c r="L131" s="83">
        <f t="shared" si="3"/>
        <v>23.648648648648649</v>
      </c>
      <c r="M131" s="83" t="s">
        <v>253</v>
      </c>
      <c r="N131" s="83">
        <v>1.05</v>
      </c>
      <c r="O131" s="83" t="s">
        <v>253</v>
      </c>
      <c r="P131" s="19" t="s">
        <v>1056</v>
      </c>
      <c r="Q131" s="63"/>
    </row>
    <row r="132" spans="1:17" s="26" customFormat="1" ht="15">
      <c r="A132" s="19" t="s">
        <v>641</v>
      </c>
      <c r="B132" s="29" t="s">
        <v>642</v>
      </c>
      <c r="C132" s="29" t="s">
        <v>643</v>
      </c>
      <c r="D132" s="19" t="s">
        <v>846</v>
      </c>
      <c r="E132" s="19">
        <v>1999</v>
      </c>
      <c r="F132" s="72">
        <v>6</v>
      </c>
      <c r="G132" s="19">
        <v>29</v>
      </c>
      <c r="H132" s="28" t="s">
        <v>1047</v>
      </c>
      <c r="I132" s="28" t="s">
        <v>1175</v>
      </c>
      <c r="J132" s="83">
        <v>1.03</v>
      </c>
      <c r="K132" s="83" t="s">
        <v>253</v>
      </c>
      <c r="L132" s="83">
        <f t="shared" si="3"/>
        <v>88.349514563106794</v>
      </c>
      <c r="M132" s="83" t="s">
        <v>253</v>
      </c>
      <c r="N132" s="83">
        <v>0.91</v>
      </c>
      <c r="O132" s="83" t="s">
        <v>253</v>
      </c>
      <c r="P132" s="19" t="s">
        <v>1056</v>
      </c>
      <c r="Q132" s="63"/>
    </row>
    <row r="133" spans="1:17" s="26" customFormat="1" ht="15">
      <c r="A133" s="19" t="s">
        <v>641</v>
      </c>
      <c r="B133" s="29" t="s">
        <v>642</v>
      </c>
      <c r="C133" s="29" t="s">
        <v>643</v>
      </c>
      <c r="D133" s="19" t="s">
        <v>846</v>
      </c>
      <c r="E133" s="19">
        <v>1999</v>
      </c>
      <c r="F133" s="72">
        <v>6</v>
      </c>
      <c r="G133" s="19">
        <v>29</v>
      </c>
      <c r="H133" s="28" t="s">
        <v>1047</v>
      </c>
      <c r="I133" s="28" t="s">
        <v>1180</v>
      </c>
      <c r="J133" s="83">
        <v>0.34</v>
      </c>
      <c r="K133" s="83" t="s">
        <v>253</v>
      </c>
      <c r="L133" s="83">
        <f t="shared" si="3"/>
        <v>73.52941176470587</v>
      </c>
      <c r="M133" s="83" t="s">
        <v>253</v>
      </c>
      <c r="N133" s="83">
        <v>0.25</v>
      </c>
      <c r="O133" s="83" t="s">
        <v>253</v>
      </c>
      <c r="P133" s="19" t="s">
        <v>1056</v>
      </c>
      <c r="Q133" s="63"/>
    </row>
    <row r="134" spans="1:17" s="26" customFormat="1" ht="15">
      <c r="A134" s="19" t="s">
        <v>641</v>
      </c>
      <c r="B134" s="29" t="s">
        <v>642</v>
      </c>
      <c r="C134" s="29" t="s">
        <v>643</v>
      </c>
      <c r="D134" s="19" t="s">
        <v>846</v>
      </c>
      <c r="E134" s="19">
        <v>1999</v>
      </c>
      <c r="F134" s="72">
        <v>6</v>
      </c>
      <c r="G134" s="19">
        <v>29</v>
      </c>
      <c r="H134" s="28" t="s">
        <v>1047</v>
      </c>
      <c r="I134" s="28" t="s">
        <v>1181</v>
      </c>
      <c r="J134" s="83">
        <v>4.76</v>
      </c>
      <c r="K134" s="83" t="s">
        <v>253</v>
      </c>
      <c r="L134" s="83">
        <f t="shared" si="3"/>
        <v>69.117647058823522</v>
      </c>
      <c r="M134" s="83" t="s">
        <v>253</v>
      </c>
      <c r="N134" s="83">
        <v>3.29</v>
      </c>
      <c r="O134" s="83" t="s">
        <v>253</v>
      </c>
      <c r="P134" s="19" t="s">
        <v>1056</v>
      </c>
      <c r="Q134" s="63"/>
    </row>
    <row r="135" spans="1:17" s="26" customFormat="1" ht="15">
      <c r="A135" s="19" t="s">
        <v>641</v>
      </c>
      <c r="B135" s="29" t="s">
        <v>642</v>
      </c>
      <c r="C135" s="29" t="s">
        <v>643</v>
      </c>
      <c r="D135" s="19" t="s">
        <v>846</v>
      </c>
      <c r="E135" s="19">
        <v>1999</v>
      </c>
      <c r="F135" s="72">
        <v>6</v>
      </c>
      <c r="G135" s="19">
        <v>29</v>
      </c>
      <c r="H135" s="28" t="s">
        <v>1047</v>
      </c>
      <c r="I135" s="28" t="s">
        <v>1182</v>
      </c>
      <c r="J135" s="83">
        <v>2.9</v>
      </c>
      <c r="K135" s="83" t="s">
        <v>253</v>
      </c>
      <c r="L135" s="83">
        <f t="shared" si="3"/>
        <v>46.896551724137936</v>
      </c>
      <c r="M135" s="83" t="s">
        <v>253</v>
      </c>
      <c r="N135" s="83">
        <v>1.36</v>
      </c>
      <c r="O135" s="83" t="s">
        <v>253</v>
      </c>
      <c r="P135" s="19" t="s">
        <v>1056</v>
      </c>
      <c r="Q135" s="63"/>
    </row>
    <row r="136" spans="1:17" s="26" customFormat="1" ht="15">
      <c r="A136" s="19" t="s">
        <v>641</v>
      </c>
      <c r="B136" s="29" t="s">
        <v>642</v>
      </c>
      <c r="C136" s="29" t="s">
        <v>643</v>
      </c>
      <c r="D136" s="19" t="s">
        <v>846</v>
      </c>
      <c r="E136" s="19">
        <v>1999</v>
      </c>
      <c r="F136" s="72">
        <v>6</v>
      </c>
      <c r="G136" s="19">
        <v>29</v>
      </c>
      <c r="H136" s="28" t="s">
        <v>1047</v>
      </c>
      <c r="I136" s="28" t="s">
        <v>1054</v>
      </c>
      <c r="J136" s="83">
        <v>3.2</v>
      </c>
      <c r="K136" s="83" t="s">
        <v>253</v>
      </c>
      <c r="L136" s="83">
        <f t="shared" si="3"/>
        <v>37.187499999999993</v>
      </c>
      <c r="M136" s="83" t="s">
        <v>253</v>
      </c>
      <c r="N136" s="83">
        <v>1.19</v>
      </c>
      <c r="O136" s="83" t="s">
        <v>253</v>
      </c>
      <c r="P136" s="19" t="s">
        <v>1056</v>
      </c>
      <c r="Q136" s="63"/>
    </row>
    <row r="137" spans="1:17" s="26" customFormat="1" ht="15">
      <c r="A137" s="19" t="s">
        <v>641</v>
      </c>
      <c r="B137" s="29" t="s">
        <v>642</v>
      </c>
      <c r="C137" s="29" t="s">
        <v>643</v>
      </c>
      <c r="D137" s="19" t="s">
        <v>846</v>
      </c>
      <c r="E137" s="19">
        <v>1999</v>
      </c>
      <c r="F137" s="72">
        <v>6</v>
      </c>
      <c r="G137" s="19">
        <v>29</v>
      </c>
      <c r="H137" s="28" t="s">
        <v>1047</v>
      </c>
      <c r="I137" s="28" t="s">
        <v>485</v>
      </c>
      <c r="J137" s="83">
        <v>77</v>
      </c>
      <c r="K137" s="83" t="s">
        <v>253</v>
      </c>
      <c r="L137" s="83">
        <f t="shared" si="3"/>
        <v>29.870129870129869</v>
      </c>
      <c r="M137" s="83" t="s">
        <v>253</v>
      </c>
      <c r="N137" s="83">
        <v>23</v>
      </c>
      <c r="O137" s="83" t="s">
        <v>253</v>
      </c>
      <c r="P137" s="19" t="s">
        <v>1056</v>
      </c>
      <c r="Q137" s="63"/>
    </row>
    <row r="138" spans="1:17" s="26" customFormat="1" ht="15">
      <c r="A138" s="19" t="s">
        <v>641</v>
      </c>
      <c r="B138" s="29" t="s">
        <v>642</v>
      </c>
      <c r="C138" s="29" t="s">
        <v>643</v>
      </c>
      <c r="D138" s="19" t="s">
        <v>644</v>
      </c>
      <c r="E138" s="19">
        <v>2000</v>
      </c>
      <c r="F138" s="72">
        <v>6</v>
      </c>
      <c r="G138" s="19">
        <v>28</v>
      </c>
      <c r="H138" s="28" t="s">
        <v>1047</v>
      </c>
      <c r="I138" s="28" t="s">
        <v>645</v>
      </c>
      <c r="J138" s="83">
        <v>49.21</v>
      </c>
      <c r="K138" s="83" t="s">
        <v>253</v>
      </c>
      <c r="L138" s="83">
        <f t="shared" si="3"/>
        <v>40.642145905303799</v>
      </c>
      <c r="M138" s="83" t="s">
        <v>253</v>
      </c>
      <c r="N138" s="83">
        <v>20</v>
      </c>
      <c r="O138" s="83" t="s">
        <v>253</v>
      </c>
      <c r="P138" s="19" t="s">
        <v>1057</v>
      </c>
      <c r="Q138" s="63"/>
    </row>
    <row r="139" spans="1:17" s="26" customFormat="1" ht="15">
      <c r="A139" s="19" t="s">
        <v>641</v>
      </c>
      <c r="B139" s="29" t="s">
        <v>642</v>
      </c>
      <c r="C139" s="29" t="s">
        <v>643</v>
      </c>
      <c r="D139" s="19" t="s">
        <v>846</v>
      </c>
      <c r="E139" s="19">
        <v>2000</v>
      </c>
      <c r="F139" s="72">
        <v>6</v>
      </c>
      <c r="G139" s="19">
        <v>28</v>
      </c>
      <c r="H139" s="28" t="s">
        <v>1047</v>
      </c>
      <c r="I139" s="28" t="s">
        <v>647</v>
      </c>
      <c r="J139" s="83">
        <v>0.56000000000000005</v>
      </c>
      <c r="K139" s="83" t="s">
        <v>253</v>
      </c>
      <c r="L139" s="83">
        <f t="shared" si="3"/>
        <v>100</v>
      </c>
      <c r="M139" s="83" t="s">
        <v>253</v>
      </c>
      <c r="N139" s="83">
        <v>0.56000000000000005</v>
      </c>
      <c r="O139" s="83" t="s">
        <v>253</v>
      </c>
      <c r="P139" s="19" t="s">
        <v>1057</v>
      </c>
      <c r="Q139" s="63"/>
    </row>
    <row r="140" spans="1:17" s="26" customFormat="1" ht="15">
      <c r="A140" s="19" t="s">
        <v>641</v>
      </c>
      <c r="B140" s="29" t="s">
        <v>642</v>
      </c>
      <c r="C140" s="29" t="s">
        <v>643</v>
      </c>
      <c r="D140" s="19" t="s">
        <v>846</v>
      </c>
      <c r="E140" s="19">
        <v>2000</v>
      </c>
      <c r="F140" s="72">
        <v>6</v>
      </c>
      <c r="G140" s="19">
        <v>28</v>
      </c>
      <c r="H140" s="28" t="s">
        <v>1047</v>
      </c>
      <c r="I140" s="28" t="s">
        <v>780</v>
      </c>
      <c r="J140" s="83">
        <v>2.21</v>
      </c>
      <c r="K140" s="83" t="s">
        <v>253</v>
      </c>
      <c r="L140" s="83">
        <f t="shared" si="3"/>
        <v>76.923076923076934</v>
      </c>
      <c r="M140" s="83" t="s">
        <v>253</v>
      </c>
      <c r="N140" s="83">
        <v>1.7</v>
      </c>
      <c r="O140" s="83" t="s">
        <v>253</v>
      </c>
      <c r="P140" s="19" t="s">
        <v>1057</v>
      </c>
      <c r="Q140" s="63"/>
    </row>
    <row r="141" spans="1:17" s="26" customFormat="1" ht="15">
      <c r="A141" s="19" t="s">
        <v>641</v>
      </c>
      <c r="B141" s="29" t="s">
        <v>642</v>
      </c>
      <c r="C141" s="29" t="s">
        <v>643</v>
      </c>
      <c r="D141" s="19" t="s">
        <v>846</v>
      </c>
      <c r="E141" s="19">
        <v>2000</v>
      </c>
      <c r="F141" s="72">
        <v>6</v>
      </c>
      <c r="G141" s="19">
        <v>28</v>
      </c>
      <c r="H141" s="28" t="s">
        <v>1047</v>
      </c>
      <c r="I141" s="28" t="s">
        <v>781</v>
      </c>
      <c r="J141" s="83">
        <v>4.74</v>
      </c>
      <c r="K141" s="83" t="s">
        <v>253</v>
      </c>
      <c r="L141" s="83">
        <f t="shared" si="3"/>
        <v>66.455696202531641</v>
      </c>
      <c r="M141" s="83" t="s">
        <v>253</v>
      </c>
      <c r="N141" s="83">
        <v>3.15</v>
      </c>
      <c r="O141" s="83" t="s">
        <v>253</v>
      </c>
      <c r="P141" s="19" t="s">
        <v>1057</v>
      </c>
      <c r="Q141" s="63"/>
    </row>
    <row r="142" spans="1:17" s="26" customFormat="1" ht="15">
      <c r="A142" s="19" t="s">
        <v>641</v>
      </c>
      <c r="B142" s="29" t="s">
        <v>642</v>
      </c>
      <c r="C142" s="29" t="s">
        <v>643</v>
      </c>
      <c r="D142" s="19" t="s">
        <v>846</v>
      </c>
      <c r="E142" s="19">
        <v>2000</v>
      </c>
      <c r="F142" s="72">
        <v>6</v>
      </c>
      <c r="G142" s="19">
        <v>28</v>
      </c>
      <c r="H142" s="28" t="s">
        <v>1047</v>
      </c>
      <c r="I142" s="28" t="s">
        <v>1067</v>
      </c>
      <c r="J142" s="83">
        <v>4.0999999999999996</v>
      </c>
      <c r="K142" s="83" t="s">
        <v>253</v>
      </c>
      <c r="L142" s="83">
        <f t="shared" si="3"/>
        <v>45.365853658536594</v>
      </c>
      <c r="M142" s="83" t="s">
        <v>253</v>
      </c>
      <c r="N142" s="83">
        <v>1.86</v>
      </c>
      <c r="O142" s="83" t="s">
        <v>253</v>
      </c>
      <c r="P142" s="19" t="s">
        <v>1057</v>
      </c>
      <c r="Q142" s="63"/>
    </row>
    <row r="143" spans="1:17" s="26" customFormat="1" ht="15">
      <c r="A143" s="19" t="s">
        <v>641</v>
      </c>
      <c r="B143" s="29" t="s">
        <v>642</v>
      </c>
      <c r="C143" s="29" t="s">
        <v>643</v>
      </c>
      <c r="D143" s="19" t="s">
        <v>846</v>
      </c>
      <c r="E143" s="19">
        <v>2000</v>
      </c>
      <c r="F143" s="72">
        <v>6</v>
      </c>
      <c r="G143" s="19">
        <v>28</v>
      </c>
      <c r="H143" s="28" t="s">
        <v>1047</v>
      </c>
      <c r="I143" s="28" t="s">
        <v>1174</v>
      </c>
      <c r="J143" s="83">
        <v>4.93</v>
      </c>
      <c r="K143" s="83" t="s">
        <v>253</v>
      </c>
      <c r="L143" s="83">
        <f t="shared" si="3"/>
        <v>52.535496957403652</v>
      </c>
      <c r="M143" s="83" t="s">
        <v>253</v>
      </c>
      <c r="N143" s="83">
        <v>2.59</v>
      </c>
      <c r="O143" s="83" t="s">
        <v>253</v>
      </c>
      <c r="P143" s="19" t="s">
        <v>1057</v>
      </c>
      <c r="Q143" s="63"/>
    </row>
    <row r="144" spans="1:17" s="26" customFormat="1" ht="15">
      <c r="A144" s="19" t="s">
        <v>641</v>
      </c>
      <c r="B144" s="29" t="s">
        <v>642</v>
      </c>
      <c r="C144" s="29" t="s">
        <v>643</v>
      </c>
      <c r="D144" s="19" t="s">
        <v>846</v>
      </c>
      <c r="E144" s="19">
        <v>2000</v>
      </c>
      <c r="F144" s="72">
        <v>6</v>
      </c>
      <c r="G144" s="19">
        <v>28</v>
      </c>
      <c r="H144" s="28" t="s">
        <v>1047</v>
      </c>
      <c r="I144" s="28" t="s">
        <v>1175</v>
      </c>
      <c r="J144" s="83">
        <v>0.52</v>
      </c>
      <c r="K144" s="83" t="s">
        <v>253</v>
      </c>
      <c r="L144" s="83">
        <f t="shared" si="3"/>
        <v>86.538461538461547</v>
      </c>
      <c r="M144" s="83" t="s">
        <v>253</v>
      </c>
      <c r="N144" s="83">
        <v>0.45</v>
      </c>
      <c r="O144" s="83" t="s">
        <v>253</v>
      </c>
      <c r="P144" s="19" t="s">
        <v>1057</v>
      </c>
      <c r="Q144" s="63"/>
    </row>
    <row r="145" spans="1:17" s="26" customFormat="1" ht="15">
      <c r="A145" s="19" t="s">
        <v>641</v>
      </c>
      <c r="B145" s="29" t="s">
        <v>642</v>
      </c>
      <c r="C145" s="29" t="s">
        <v>643</v>
      </c>
      <c r="D145" s="19" t="s">
        <v>846</v>
      </c>
      <c r="E145" s="19">
        <v>2000</v>
      </c>
      <c r="F145" s="72">
        <v>6</v>
      </c>
      <c r="G145" s="19">
        <v>28</v>
      </c>
      <c r="H145" s="28" t="s">
        <v>1047</v>
      </c>
      <c r="I145" s="28" t="s">
        <v>1180</v>
      </c>
      <c r="J145" s="83">
        <v>0.27</v>
      </c>
      <c r="K145" s="83" t="s">
        <v>253</v>
      </c>
      <c r="L145" s="83">
        <f t="shared" si="3"/>
        <v>77.777777777777771</v>
      </c>
      <c r="M145" s="83" t="s">
        <v>253</v>
      </c>
      <c r="N145" s="83">
        <v>0.21</v>
      </c>
      <c r="O145" s="83" t="s">
        <v>253</v>
      </c>
      <c r="P145" s="19" t="s">
        <v>1057</v>
      </c>
      <c r="Q145" s="63"/>
    </row>
    <row r="146" spans="1:17" s="26" customFormat="1" ht="15">
      <c r="A146" s="19" t="s">
        <v>641</v>
      </c>
      <c r="B146" s="29" t="s">
        <v>642</v>
      </c>
      <c r="C146" s="29" t="s">
        <v>643</v>
      </c>
      <c r="D146" s="19" t="s">
        <v>846</v>
      </c>
      <c r="E146" s="19">
        <v>2000</v>
      </c>
      <c r="F146" s="72">
        <v>6</v>
      </c>
      <c r="G146" s="19">
        <v>28</v>
      </c>
      <c r="H146" s="28" t="s">
        <v>1047</v>
      </c>
      <c r="I146" s="28" t="s">
        <v>1181</v>
      </c>
      <c r="J146" s="83">
        <v>5.14</v>
      </c>
      <c r="K146" s="83" t="s">
        <v>253</v>
      </c>
      <c r="L146" s="83">
        <f t="shared" si="3"/>
        <v>87.743190661478593</v>
      </c>
      <c r="M146" s="83" t="s">
        <v>253</v>
      </c>
      <c r="N146" s="83">
        <v>4.51</v>
      </c>
      <c r="O146" s="83" t="s">
        <v>253</v>
      </c>
      <c r="P146" s="19" t="s">
        <v>1057</v>
      </c>
      <c r="Q146" s="63"/>
    </row>
    <row r="147" spans="1:17" s="26" customFormat="1" ht="15">
      <c r="A147" s="19" t="s">
        <v>641</v>
      </c>
      <c r="B147" s="29" t="s">
        <v>642</v>
      </c>
      <c r="C147" s="29" t="s">
        <v>643</v>
      </c>
      <c r="D147" s="19" t="s">
        <v>846</v>
      </c>
      <c r="E147" s="19">
        <v>2000</v>
      </c>
      <c r="F147" s="72">
        <v>6</v>
      </c>
      <c r="G147" s="19">
        <v>28</v>
      </c>
      <c r="H147" s="28" t="s">
        <v>1047</v>
      </c>
      <c r="I147" s="28" t="s">
        <v>1182</v>
      </c>
      <c r="J147" s="83">
        <v>2.94</v>
      </c>
      <c r="K147" s="83" t="s">
        <v>253</v>
      </c>
      <c r="L147" s="83">
        <f t="shared" si="3"/>
        <v>71.428571428571431</v>
      </c>
      <c r="M147" s="83" t="s">
        <v>253</v>
      </c>
      <c r="N147" s="83">
        <v>2.1</v>
      </c>
      <c r="O147" s="83" t="s">
        <v>253</v>
      </c>
      <c r="P147" s="19" t="s">
        <v>1057</v>
      </c>
      <c r="Q147" s="63"/>
    </row>
    <row r="148" spans="1:17" s="26" customFormat="1" ht="15">
      <c r="A148" s="19" t="s">
        <v>641</v>
      </c>
      <c r="B148" s="29" t="s">
        <v>642</v>
      </c>
      <c r="C148" s="29" t="s">
        <v>643</v>
      </c>
      <c r="D148" s="19" t="s">
        <v>846</v>
      </c>
      <c r="E148" s="19">
        <v>2000</v>
      </c>
      <c r="F148" s="72">
        <v>6</v>
      </c>
      <c r="G148" s="19">
        <v>28</v>
      </c>
      <c r="H148" s="28" t="s">
        <v>1047</v>
      </c>
      <c r="I148" s="28" t="s">
        <v>1054</v>
      </c>
      <c r="J148" s="83">
        <v>1.04</v>
      </c>
      <c r="K148" s="83" t="s">
        <v>253</v>
      </c>
      <c r="L148" s="83">
        <f t="shared" si="3"/>
        <v>25.961538461538463</v>
      </c>
      <c r="M148" s="83" t="s">
        <v>253</v>
      </c>
      <c r="N148" s="83">
        <v>0.27</v>
      </c>
      <c r="O148" s="83" t="s">
        <v>253</v>
      </c>
      <c r="P148" s="19" t="s">
        <v>1057</v>
      </c>
      <c r="Q148" s="63"/>
    </row>
    <row r="149" spans="1:17" s="26" customFormat="1" ht="15">
      <c r="A149" s="19" t="s">
        <v>641</v>
      </c>
      <c r="B149" s="29" t="s">
        <v>642</v>
      </c>
      <c r="C149" s="29" t="s">
        <v>643</v>
      </c>
      <c r="D149" s="19" t="s">
        <v>846</v>
      </c>
      <c r="E149" s="19">
        <v>2000</v>
      </c>
      <c r="F149" s="72">
        <v>6</v>
      </c>
      <c r="G149" s="19">
        <v>28</v>
      </c>
      <c r="H149" s="28" t="s">
        <v>1047</v>
      </c>
      <c r="I149" s="28" t="s">
        <v>485</v>
      </c>
      <c r="J149" s="83">
        <v>80</v>
      </c>
      <c r="K149" s="83" t="s">
        <v>253</v>
      </c>
      <c r="L149" s="83">
        <f t="shared" si="3"/>
        <v>46.25</v>
      </c>
      <c r="M149" s="83" t="s">
        <v>253</v>
      </c>
      <c r="N149" s="83">
        <v>37</v>
      </c>
      <c r="O149" s="83" t="s">
        <v>253</v>
      </c>
      <c r="P149" s="19" t="s">
        <v>1057</v>
      </c>
      <c r="Q149" s="63"/>
    </row>
    <row r="150" spans="1:17" s="26" customFormat="1" ht="15">
      <c r="A150" s="19" t="s">
        <v>641</v>
      </c>
      <c r="B150" s="29" t="s">
        <v>642</v>
      </c>
      <c r="C150" s="29" t="s">
        <v>643</v>
      </c>
      <c r="D150" s="19" t="s">
        <v>644</v>
      </c>
      <c r="E150" s="19">
        <v>1999</v>
      </c>
      <c r="F150" s="72">
        <v>6</v>
      </c>
      <c r="G150" s="19">
        <v>20</v>
      </c>
      <c r="H150" s="28" t="s">
        <v>1047</v>
      </c>
      <c r="I150" s="28" t="s">
        <v>645</v>
      </c>
      <c r="J150" s="83">
        <v>36.35</v>
      </c>
      <c r="K150" s="83" t="s">
        <v>253</v>
      </c>
      <c r="L150" s="83">
        <f t="shared" si="3"/>
        <v>57.111416781292988</v>
      </c>
      <c r="M150" s="83" t="s">
        <v>253</v>
      </c>
      <c r="N150" s="83">
        <v>20.76</v>
      </c>
      <c r="O150" s="83" t="s">
        <v>253</v>
      </c>
      <c r="P150" s="19" t="s">
        <v>1059</v>
      </c>
      <c r="Q150" s="63"/>
    </row>
    <row r="151" spans="1:17" s="26" customFormat="1" ht="15">
      <c r="A151" s="19" t="s">
        <v>641</v>
      </c>
      <c r="B151" s="29" t="s">
        <v>642</v>
      </c>
      <c r="C151" s="29" t="s">
        <v>643</v>
      </c>
      <c r="D151" s="19" t="s">
        <v>846</v>
      </c>
      <c r="E151" s="19">
        <v>1999</v>
      </c>
      <c r="F151" s="72">
        <v>6</v>
      </c>
      <c r="G151" s="19">
        <v>20</v>
      </c>
      <c r="H151" s="28" t="s">
        <v>1047</v>
      </c>
      <c r="I151" s="28" t="s">
        <v>647</v>
      </c>
      <c r="J151" s="83">
        <v>0.62</v>
      </c>
      <c r="K151" s="83" t="s">
        <v>253</v>
      </c>
      <c r="L151" s="83">
        <f t="shared" si="3"/>
        <v>100</v>
      </c>
      <c r="M151" s="83" t="s">
        <v>253</v>
      </c>
      <c r="N151" s="83">
        <v>0.62</v>
      </c>
      <c r="O151" s="83" t="s">
        <v>253</v>
      </c>
      <c r="P151" s="19" t="s">
        <v>1059</v>
      </c>
      <c r="Q151" s="63"/>
    </row>
    <row r="152" spans="1:17" s="26" customFormat="1" ht="15">
      <c r="A152" s="19" t="s">
        <v>641</v>
      </c>
      <c r="B152" s="29" t="s">
        <v>642</v>
      </c>
      <c r="C152" s="29" t="s">
        <v>643</v>
      </c>
      <c r="D152" s="19" t="s">
        <v>846</v>
      </c>
      <c r="E152" s="19">
        <v>1999</v>
      </c>
      <c r="F152" s="72">
        <v>6</v>
      </c>
      <c r="G152" s="19">
        <v>20</v>
      </c>
      <c r="H152" s="28" t="s">
        <v>1047</v>
      </c>
      <c r="I152" s="28" t="s">
        <v>780</v>
      </c>
      <c r="J152" s="83">
        <v>2.16</v>
      </c>
      <c r="K152" s="83" t="s">
        <v>253</v>
      </c>
      <c r="L152" s="83">
        <f t="shared" si="3"/>
        <v>65.277777777777771</v>
      </c>
      <c r="M152" s="83" t="s">
        <v>253</v>
      </c>
      <c r="N152" s="83">
        <v>1.41</v>
      </c>
      <c r="O152" s="83" t="s">
        <v>253</v>
      </c>
      <c r="P152" s="19" t="s">
        <v>1059</v>
      </c>
      <c r="Q152" s="63"/>
    </row>
    <row r="153" spans="1:17" s="26" customFormat="1" ht="15">
      <c r="A153" s="19" t="s">
        <v>641</v>
      </c>
      <c r="B153" s="29" t="s">
        <v>642</v>
      </c>
      <c r="C153" s="29" t="s">
        <v>643</v>
      </c>
      <c r="D153" s="19" t="s">
        <v>846</v>
      </c>
      <c r="E153" s="19">
        <v>1999</v>
      </c>
      <c r="F153" s="72">
        <v>6</v>
      </c>
      <c r="G153" s="19">
        <v>20</v>
      </c>
      <c r="H153" s="28" t="s">
        <v>1047</v>
      </c>
      <c r="I153" s="28" t="s">
        <v>781</v>
      </c>
      <c r="J153" s="83">
        <v>5.86</v>
      </c>
      <c r="K153" s="83" t="s">
        <v>253</v>
      </c>
      <c r="L153" s="83">
        <f t="shared" si="3"/>
        <v>64.675767918088738</v>
      </c>
      <c r="M153" s="83" t="s">
        <v>253</v>
      </c>
      <c r="N153" s="83">
        <v>3.79</v>
      </c>
      <c r="O153" s="83" t="s">
        <v>253</v>
      </c>
      <c r="P153" s="19" t="s">
        <v>1059</v>
      </c>
      <c r="Q153" s="63"/>
    </row>
    <row r="154" spans="1:17" s="26" customFormat="1" ht="15">
      <c r="A154" s="19" t="s">
        <v>641</v>
      </c>
      <c r="B154" s="29" t="s">
        <v>642</v>
      </c>
      <c r="C154" s="29" t="s">
        <v>643</v>
      </c>
      <c r="D154" s="19" t="s">
        <v>846</v>
      </c>
      <c r="E154" s="19">
        <v>1999</v>
      </c>
      <c r="F154" s="72">
        <v>6</v>
      </c>
      <c r="G154" s="19">
        <v>20</v>
      </c>
      <c r="H154" s="28" t="s">
        <v>1047</v>
      </c>
      <c r="I154" s="28" t="s">
        <v>1067</v>
      </c>
      <c r="J154" s="83">
        <v>3.25</v>
      </c>
      <c r="K154" s="83" t="s">
        <v>253</v>
      </c>
      <c r="L154" s="83">
        <f t="shared" si="3"/>
        <v>32.923076923076927</v>
      </c>
      <c r="M154" s="83" t="s">
        <v>253</v>
      </c>
      <c r="N154" s="83">
        <v>1.07</v>
      </c>
      <c r="O154" s="83" t="s">
        <v>253</v>
      </c>
      <c r="P154" s="19" t="s">
        <v>1059</v>
      </c>
      <c r="Q154" s="63"/>
    </row>
    <row r="155" spans="1:17" s="26" customFormat="1" ht="15">
      <c r="A155" s="19" t="s">
        <v>641</v>
      </c>
      <c r="B155" s="29" t="s">
        <v>642</v>
      </c>
      <c r="C155" s="29" t="s">
        <v>643</v>
      </c>
      <c r="D155" s="19" t="s">
        <v>846</v>
      </c>
      <c r="E155" s="19">
        <v>1999</v>
      </c>
      <c r="F155" s="72">
        <v>6</v>
      </c>
      <c r="G155" s="19">
        <v>20</v>
      </c>
      <c r="H155" s="28" t="s">
        <v>1047</v>
      </c>
      <c r="I155" s="28" t="s">
        <v>1174</v>
      </c>
      <c r="J155" s="83">
        <v>3.8</v>
      </c>
      <c r="K155" s="83" t="s">
        <v>253</v>
      </c>
      <c r="L155" s="83">
        <f t="shared" si="3"/>
        <v>38.94736842105263</v>
      </c>
      <c r="M155" s="83" t="s">
        <v>253</v>
      </c>
      <c r="N155" s="83">
        <v>1.48</v>
      </c>
      <c r="O155" s="83" t="s">
        <v>253</v>
      </c>
      <c r="P155" s="19" t="s">
        <v>1059</v>
      </c>
      <c r="Q155" s="63"/>
    </row>
    <row r="156" spans="1:17" s="26" customFormat="1" ht="15">
      <c r="A156" s="19" t="s">
        <v>641</v>
      </c>
      <c r="B156" s="29" t="s">
        <v>642</v>
      </c>
      <c r="C156" s="29" t="s">
        <v>643</v>
      </c>
      <c r="D156" s="19" t="s">
        <v>846</v>
      </c>
      <c r="E156" s="19">
        <v>1999</v>
      </c>
      <c r="F156" s="72">
        <v>6</v>
      </c>
      <c r="G156" s="19">
        <v>20</v>
      </c>
      <c r="H156" s="28" t="s">
        <v>1047</v>
      </c>
      <c r="I156" s="28" t="s">
        <v>1175</v>
      </c>
      <c r="J156" s="83">
        <v>0.23</v>
      </c>
      <c r="K156" s="83" t="s">
        <v>253</v>
      </c>
      <c r="L156" s="83">
        <f t="shared" si="3"/>
        <v>91.304347826086953</v>
      </c>
      <c r="M156" s="83" t="s">
        <v>253</v>
      </c>
      <c r="N156" s="83">
        <v>0.21</v>
      </c>
      <c r="O156" s="83" t="s">
        <v>253</v>
      </c>
      <c r="P156" s="19" t="s">
        <v>1059</v>
      </c>
      <c r="Q156" s="63"/>
    </row>
    <row r="157" spans="1:17" s="26" customFormat="1" ht="15">
      <c r="A157" s="19" t="s">
        <v>641</v>
      </c>
      <c r="B157" s="29" t="s">
        <v>642</v>
      </c>
      <c r="C157" s="29" t="s">
        <v>643</v>
      </c>
      <c r="D157" s="19" t="s">
        <v>846</v>
      </c>
      <c r="E157" s="19">
        <v>1999</v>
      </c>
      <c r="F157" s="72">
        <v>6</v>
      </c>
      <c r="G157" s="19">
        <v>20</v>
      </c>
      <c r="H157" s="28" t="s">
        <v>1047</v>
      </c>
      <c r="I157" s="28" t="s">
        <v>1180</v>
      </c>
      <c r="J157" s="83">
        <v>0.06</v>
      </c>
      <c r="K157" s="83" t="s">
        <v>253</v>
      </c>
      <c r="L157" s="83">
        <f t="shared" si="3"/>
        <v>100</v>
      </c>
      <c r="M157" s="83" t="s">
        <v>253</v>
      </c>
      <c r="N157" s="83">
        <v>0.06</v>
      </c>
      <c r="O157" s="83" t="s">
        <v>253</v>
      </c>
      <c r="P157" s="19" t="s">
        <v>1059</v>
      </c>
      <c r="Q157" s="63"/>
    </row>
    <row r="158" spans="1:17" s="26" customFormat="1" ht="15">
      <c r="A158" s="19" t="s">
        <v>641</v>
      </c>
      <c r="B158" s="29" t="s">
        <v>642</v>
      </c>
      <c r="C158" s="29" t="s">
        <v>643</v>
      </c>
      <c r="D158" s="19" t="s">
        <v>846</v>
      </c>
      <c r="E158" s="19">
        <v>1999</v>
      </c>
      <c r="F158" s="72">
        <v>6</v>
      </c>
      <c r="G158" s="19">
        <v>20</v>
      </c>
      <c r="H158" s="28" t="s">
        <v>1047</v>
      </c>
      <c r="I158" s="28" t="s">
        <v>1181</v>
      </c>
      <c r="J158" s="83">
        <v>5.24</v>
      </c>
      <c r="K158" s="83" t="s">
        <v>253</v>
      </c>
      <c r="L158" s="83">
        <f t="shared" si="3"/>
        <v>86.068702290076331</v>
      </c>
      <c r="M158" s="83" t="s">
        <v>253</v>
      </c>
      <c r="N158" s="83">
        <v>4.51</v>
      </c>
      <c r="O158" s="83" t="s">
        <v>253</v>
      </c>
      <c r="P158" s="19" t="s">
        <v>1059</v>
      </c>
      <c r="Q158" s="63"/>
    </row>
    <row r="159" spans="1:17" s="26" customFormat="1" ht="15">
      <c r="A159" s="19" t="s">
        <v>641</v>
      </c>
      <c r="B159" s="29" t="s">
        <v>642</v>
      </c>
      <c r="C159" s="29" t="s">
        <v>643</v>
      </c>
      <c r="D159" s="19" t="s">
        <v>846</v>
      </c>
      <c r="E159" s="19">
        <v>1999</v>
      </c>
      <c r="F159" s="72">
        <v>6</v>
      </c>
      <c r="G159" s="19">
        <v>20</v>
      </c>
      <c r="H159" s="28" t="s">
        <v>1047</v>
      </c>
      <c r="I159" s="28" t="s">
        <v>1182</v>
      </c>
      <c r="J159" s="83">
        <v>2.57</v>
      </c>
      <c r="K159" s="83" t="s">
        <v>253</v>
      </c>
      <c r="L159" s="83">
        <f t="shared" si="3"/>
        <v>44.357976653696497</v>
      </c>
      <c r="M159" s="83" t="s">
        <v>253</v>
      </c>
      <c r="N159" s="83">
        <v>1.1399999999999999</v>
      </c>
      <c r="O159" s="83" t="s">
        <v>253</v>
      </c>
      <c r="P159" s="19" t="s">
        <v>1059</v>
      </c>
      <c r="Q159" s="63"/>
    </row>
    <row r="160" spans="1:17" s="26" customFormat="1" ht="15">
      <c r="A160" s="19" t="s">
        <v>641</v>
      </c>
      <c r="B160" s="29" t="s">
        <v>642</v>
      </c>
      <c r="C160" s="29" t="s">
        <v>643</v>
      </c>
      <c r="D160" s="19" t="s">
        <v>846</v>
      </c>
      <c r="E160" s="19">
        <v>1999</v>
      </c>
      <c r="F160" s="72">
        <v>6</v>
      </c>
      <c r="G160" s="19">
        <v>20</v>
      </c>
      <c r="H160" s="28" t="s">
        <v>1047</v>
      </c>
      <c r="I160" s="28" t="s">
        <v>1054</v>
      </c>
      <c r="J160" s="83">
        <v>1.02</v>
      </c>
      <c r="K160" s="83" t="s">
        <v>253</v>
      </c>
      <c r="L160" s="83">
        <f t="shared" si="3"/>
        <v>0</v>
      </c>
      <c r="M160" s="83" t="s">
        <v>253</v>
      </c>
      <c r="N160" s="83">
        <v>0</v>
      </c>
      <c r="O160" s="83" t="s">
        <v>253</v>
      </c>
      <c r="P160" s="19" t="s">
        <v>1059</v>
      </c>
      <c r="Q160" s="63"/>
    </row>
    <row r="161" spans="1:17" s="26" customFormat="1" ht="15">
      <c r="A161" s="19" t="s">
        <v>641</v>
      </c>
      <c r="B161" s="29" t="s">
        <v>642</v>
      </c>
      <c r="C161" s="29" t="s">
        <v>643</v>
      </c>
      <c r="D161" s="19" t="s">
        <v>846</v>
      </c>
      <c r="E161" s="19">
        <v>1999</v>
      </c>
      <c r="F161" s="72">
        <v>6</v>
      </c>
      <c r="G161" s="19">
        <v>20</v>
      </c>
      <c r="H161" s="28" t="s">
        <v>1047</v>
      </c>
      <c r="I161" s="28" t="s">
        <v>485</v>
      </c>
      <c r="J161" s="83">
        <v>68</v>
      </c>
      <c r="K161" s="83" t="s">
        <v>253</v>
      </c>
      <c r="L161" s="83">
        <f t="shared" si="3"/>
        <v>51.470588235294116</v>
      </c>
      <c r="M161" s="83" t="s">
        <v>253</v>
      </c>
      <c r="N161" s="83">
        <v>35</v>
      </c>
      <c r="O161" s="83" t="s">
        <v>253</v>
      </c>
      <c r="P161" s="19" t="s">
        <v>1059</v>
      </c>
      <c r="Q161" s="63"/>
    </row>
    <row r="162" spans="1:17" s="26" customFormat="1" ht="15">
      <c r="A162" s="19" t="s">
        <v>641</v>
      </c>
      <c r="B162" s="29" t="s">
        <v>642</v>
      </c>
      <c r="C162" s="29" t="s">
        <v>643</v>
      </c>
      <c r="D162" s="19" t="s">
        <v>644</v>
      </c>
      <c r="E162" s="19">
        <v>1997</v>
      </c>
      <c r="F162" s="72">
        <v>7</v>
      </c>
      <c r="G162" s="19">
        <v>4</v>
      </c>
      <c r="H162" s="28" t="s">
        <v>1047</v>
      </c>
      <c r="I162" s="28" t="s">
        <v>645</v>
      </c>
      <c r="J162" s="83">
        <v>42.49</v>
      </c>
      <c r="K162" s="83" t="s">
        <v>253</v>
      </c>
      <c r="L162" s="83">
        <f t="shared" si="3"/>
        <v>45.187102847728873</v>
      </c>
      <c r="M162" s="83" t="s">
        <v>253</v>
      </c>
      <c r="N162" s="83">
        <v>19.2</v>
      </c>
      <c r="O162" s="83" t="s">
        <v>253</v>
      </c>
      <c r="P162" s="19" t="s">
        <v>1060</v>
      </c>
      <c r="Q162" s="63"/>
    </row>
    <row r="163" spans="1:17" s="26" customFormat="1" ht="15">
      <c r="A163" s="19" t="s">
        <v>641</v>
      </c>
      <c r="B163" s="29" t="s">
        <v>642</v>
      </c>
      <c r="C163" s="29" t="s">
        <v>643</v>
      </c>
      <c r="D163" s="19" t="s">
        <v>846</v>
      </c>
      <c r="E163" s="19">
        <v>1997</v>
      </c>
      <c r="F163" s="72">
        <v>7</v>
      </c>
      <c r="G163" s="19">
        <v>4</v>
      </c>
      <c r="H163" s="28" t="s">
        <v>1047</v>
      </c>
      <c r="I163" s="28" t="s">
        <v>647</v>
      </c>
      <c r="J163" s="83">
        <v>0.75</v>
      </c>
      <c r="K163" s="83" t="s">
        <v>253</v>
      </c>
      <c r="L163" s="83">
        <f t="shared" si="3"/>
        <v>100</v>
      </c>
      <c r="M163" s="83" t="s">
        <v>253</v>
      </c>
      <c r="N163" s="83">
        <v>0.75</v>
      </c>
      <c r="O163" s="83" t="s">
        <v>253</v>
      </c>
      <c r="P163" s="19" t="s">
        <v>1060</v>
      </c>
      <c r="Q163" s="63"/>
    </row>
    <row r="164" spans="1:17" s="26" customFormat="1" ht="15">
      <c r="A164" s="19" t="s">
        <v>641</v>
      </c>
      <c r="B164" s="29" t="s">
        <v>642</v>
      </c>
      <c r="C164" s="29" t="s">
        <v>643</v>
      </c>
      <c r="D164" s="19" t="s">
        <v>846</v>
      </c>
      <c r="E164" s="19">
        <v>1997</v>
      </c>
      <c r="F164" s="72">
        <v>7</v>
      </c>
      <c r="G164" s="19">
        <v>4</v>
      </c>
      <c r="H164" s="28" t="s">
        <v>1047</v>
      </c>
      <c r="I164" s="28" t="s">
        <v>780</v>
      </c>
      <c r="J164" s="83">
        <v>2.66</v>
      </c>
      <c r="K164" s="83" t="s">
        <v>253</v>
      </c>
      <c r="L164" s="83">
        <f t="shared" si="3"/>
        <v>84.962406015037587</v>
      </c>
      <c r="M164" s="83" t="s">
        <v>253</v>
      </c>
      <c r="N164" s="83">
        <v>2.2599999999999998</v>
      </c>
      <c r="O164" s="83" t="s">
        <v>253</v>
      </c>
      <c r="P164" s="19" t="s">
        <v>1060</v>
      </c>
      <c r="Q164" s="63"/>
    </row>
    <row r="165" spans="1:17" s="26" customFormat="1" ht="15">
      <c r="A165" s="19" t="s">
        <v>641</v>
      </c>
      <c r="B165" s="29" t="s">
        <v>642</v>
      </c>
      <c r="C165" s="29" t="s">
        <v>643</v>
      </c>
      <c r="D165" s="19" t="s">
        <v>846</v>
      </c>
      <c r="E165" s="19">
        <v>1997</v>
      </c>
      <c r="F165" s="72">
        <v>7</v>
      </c>
      <c r="G165" s="19">
        <v>4</v>
      </c>
      <c r="H165" s="28" t="s">
        <v>1047</v>
      </c>
      <c r="I165" s="28" t="s">
        <v>781</v>
      </c>
      <c r="J165" s="83">
        <v>7.94</v>
      </c>
      <c r="K165" s="83" t="s">
        <v>253</v>
      </c>
      <c r="L165" s="83">
        <f t="shared" si="3"/>
        <v>30.856423173803528</v>
      </c>
      <c r="M165" s="83" t="s">
        <v>253</v>
      </c>
      <c r="N165" s="83">
        <v>2.4500000000000002</v>
      </c>
      <c r="O165" s="83" t="s">
        <v>253</v>
      </c>
      <c r="P165" s="19" t="s">
        <v>1060</v>
      </c>
      <c r="Q165" s="63"/>
    </row>
    <row r="166" spans="1:17" s="26" customFormat="1" ht="15">
      <c r="A166" s="19" t="s">
        <v>641</v>
      </c>
      <c r="B166" s="29" t="s">
        <v>642</v>
      </c>
      <c r="C166" s="29" t="s">
        <v>643</v>
      </c>
      <c r="D166" s="19" t="s">
        <v>846</v>
      </c>
      <c r="E166" s="19">
        <v>1997</v>
      </c>
      <c r="F166" s="72">
        <v>7</v>
      </c>
      <c r="G166" s="19">
        <v>4</v>
      </c>
      <c r="H166" s="28" t="s">
        <v>1047</v>
      </c>
      <c r="I166" s="28" t="s">
        <v>1067</v>
      </c>
      <c r="J166" s="83">
        <v>11.19</v>
      </c>
      <c r="K166" s="83" t="s">
        <v>253</v>
      </c>
      <c r="L166" s="83">
        <f t="shared" si="3"/>
        <v>40.750670241286862</v>
      </c>
      <c r="M166" s="83" t="s">
        <v>253</v>
      </c>
      <c r="N166" s="83">
        <v>4.5599999999999996</v>
      </c>
      <c r="O166" s="83" t="s">
        <v>253</v>
      </c>
      <c r="P166" s="19" t="s">
        <v>1060</v>
      </c>
      <c r="Q166" s="63"/>
    </row>
    <row r="167" spans="1:17" s="26" customFormat="1" ht="15">
      <c r="A167" s="19" t="s">
        <v>641</v>
      </c>
      <c r="B167" s="29" t="s">
        <v>642</v>
      </c>
      <c r="C167" s="29" t="s">
        <v>643</v>
      </c>
      <c r="D167" s="19" t="s">
        <v>846</v>
      </c>
      <c r="E167" s="19">
        <v>1997</v>
      </c>
      <c r="F167" s="72">
        <v>7</v>
      </c>
      <c r="G167" s="19">
        <v>4</v>
      </c>
      <c r="H167" s="28" t="s">
        <v>1047</v>
      </c>
      <c r="I167" s="28" t="s">
        <v>1174</v>
      </c>
      <c r="J167" s="83">
        <v>3.88</v>
      </c>
      <c r="K167" s="83" t="s">
        <v>253</v>
      </c>
      <c r="L167" s="83">
        <f t="shared" ref="L167:L221" si="4">(N167/J167)*100</f>
        <v>45.876288659793815</v>
      </c>
      <c r="M167" s="83" t="s">
        <v>253</v>
      </c>
      <c r="N167" s="83">
        <v>1.78</v>
      </c>
      <c r="O167" s="83" t="s">
        <v>253</v>
      </c>
      <c r="P167" s="19" t="s">
        <v>1060</v>
      </c>
      <c r="Q167" s="63"/>
    </row>
    <row r="168" spans="1:17" s="26" customFormat="1" ht="15">
      <c r="A168" s="19" t="s">
        <v>641</v>
      </c>
      <c r="B168" s="29" t="s">
        <v>642</v>
      </c>
      <c r="C168" s="29" t="s">
        <v>643</v>
      </c>
      <c r="D168" s="19" t="s">
        <v>846</v>
      </c>
      <c r="E168" s="19">
        <v>1997</v>
      </c>
      <c r="F168" s="72">
        <v>7</v>
      </c>
      <c r="G168" s="19">
        <v>4</v>
      </c>
      <c r="H168" s="28" t="s">
        <v>1047</v>
      </c>
      <c r="I168" s="28" t="s">
        <v>1061</v>
      </c>
      <c r="J168" s="83">
        <v>10.06</v>
      </c>
      <c r="K168" s="83" t="s">
        <v>253</v>
      </c>
      <c r="L168" s="83">
        <f t="shared" si="4"/>
        <v>93.538767395626238</v>
      </c>
      <c r="M168" s="83" t="s">
        <v>253</v>
      </c>
      <c r="N168" s="83">
        <v>9.41</v>
      </c>
      <c r="O168" s="83" t="s">
        <v>253</v>
      </c>
      <c r="P168" s="19" t="s">
        <v>1060</v>
      </c>
      <c r="Q168" s="63"/>
    </row>
    <row r="169" spans="1:17" s="26" customFormat="1" ht="15">
      <c r="A169" s="19" t="s">
        <v>641</v>
      </c>
      <c r="B169" s="29" t="s">
        <v>642</v>
      </c>
      <c r="C169" s="29" t="s">
        <v>643</v>
      </c>
      <c r="D169" s="19" t="s">
        <v>846</v>
      </c>
      <c r="E169" s="19">
        <v>1997</v>
      </c>
      <c r="F169" s="72">
        <v>7</v>
      </c>
      <c r="G169" s="19">
        <v>4</v>
      </c>
      <c r="H169" s="28" t="s">
        <v>1047</v>
      </c>
      <c r="I169" s="28" t="s">
        <v>1180</v>
      </c>
      <c r="J169" s="83">
        <v>0.72</v>
      </c>
      <c r="K169" s="83" t="s">
        <v>253</v>
      </c>
      <c r="L169" s="83">
        <f t="shared" si="4"/>
        <v>47.222222222222229</v>
      </c>
      <c r="M169" s="83" t="s">
        <v>253</v>
      </c>
      <c r="N169" s="83">
        <v>0.34</v>
      </c>
      <c r="O169" s="83" t="s">
        <v>253</v>
      </c>
      <c r="P169" s="19" t="s">
        <v>1060</v>
      </c>
      <c r="Q169" s="63"/>
    </row>
    <row r="170" spans="1:17" s="26" customFormat="1" ht="15">
      <c r="A170" s="19" t="s">
        <v>641</v>
      </c>
      <c r="B170" s="29" t="s">
        <v>642</v>
      </c>
      <c r="C170" s="29" t="s">
        <v>643</v>
      </c>
      <c r="D170" s="19" t="s">
        <v>846</v>
      </c>
      <c r="E170" s="19">
        <v>1997</v>
      </c>
      <c r="F170" s="72">
        <v>7</v>
      </c>
      <c r="G170" s="19">
        <v>4</v>
      </c>
      <c r="H170" s="28" t="s">
        <v>1047</v>
      </c>
      <c r="I170" s="28" t="s">
        <v>1181</v>
      </c>
      <c r="J170" s="83">
        <v>4.59</v>
      </c>
      <c r="K170" s="83" t="s">
        <v>253</v>
      </c>
      <c r="L170" s="83">
        <f t="shared" si="4"/>
        <v>85.838779956427018</v>
      </c>
      <c r="M170" s="83" t="s">
        <v>253</v>
      </c>
      <c r="N170" s="83">
        <v>3.94</v>
      </c>
      <c r="O170" s="83" t="s">
        <v>253</v>
      </c>
      <c r="P170" s="19" t="s">
        <v>1060</v>
      </c>
      <c r="Q170" s="63"/>
    </row>
    <row r="171" spans="1:17" s="26" customFormat="1" ht="15">
      <c r="A171" s="19" t="s">
        <v>641</v>
      </c>
      <c r="B171" s="29" t="s">
        <v>642</v>
      </c>
      <c r="C171" s="29" t="s">
        <v>643</v>
      </c>
      <c r="D171" s="19" t="s">
        <v>846</v>
      </c>
      <c r="E171" s="19">
        <v>1997</v>
      </c>
      <c r="F171" s="72">
        <v>7</v>
      </c>
      <c r="G171" s="19">
        <v>4</v>
      </c>
      <c r="H171" s="28" t="s">
        <v>1047</v>
      </c>
      <c r="I171" s="28" t="s">
        <v>1182</v>
      </c>
      <c r="J171" s="83">
        <v>2.35</v>
      </c>
      <c r="K171" s="83" t="s">
        <v>253</v>
      </c>
      <c r="L171" s="83">
        <f t="shared" si="4"/>
        <v>78.297872340425528</v>
      </c>
      <c r="M171" s="83" t="s">
        <v>253</v>
      </c>
      <c r="N171" s="83">
        <v>1.84</v>
      </c>
      <c r="O171" s="83" t="s">
        <v>253</v>
      </c>
      <c r="P171" s="19" t="s">
        <v>1060</v>
      </c>
      <c r="Q171" s="63"/>
    </row>
    <row r="172" spans="1:17" s="26" customFormat="1" ht="15">
      <c r="A172" s="19" t="s">
        <v>641</v>
      </c>
      <c r="B172" s="29" t="s">
        <v>642</v>
      </c>
      <c r="C172" s="29" t="s">
        <v>643</v>
      </c>
      <c r="D172" s="19" t="s">
        <v>846</v>
      </c>
      <c r="E172" s="19">
        <v>1997</v>
      </c>
      <c r="F172" s="72">
        <v>7</v>
      </c>
      <c r="G172" s="19">
        <v>4</v>
      </c>
      <c r="H172" s="28" t="s">
        <v>1047</v>
      </c>
      <c r="I172" s="28" t="s">
        <v>1054</v>
      </c>
      <c r="J172" s="83">
        <v>0.86</v>
      </c>
      <c r="K172" s="83" t="s">
        <v>253</v>
      </c>
      <c r="L172" s="83">
        <f t="shared" si="4"/>
        <v>48.837209302325576</v>
      </c>
      <c r="M172" s="83" t="s">
        <v>253</v>
      </c>
      <c r="N172" s="83">
        <v>0.42</v>
      </c>
      <c r="O172" s="83" t="s">
        <v>253</v>
      </c>
      <c r="P172" s="19" t="s">
        <v>1060</v>
      </c>
      <c r="Q172" s="63"/>
    </row>
    <row r="173" spans="1:17" s="26" customFormat="1" ht="15">
      <c r="A173" s="19" t="s">
        <v>641</v>
      </c>
      <c r="B173" s="29" t="s">
        <v>642</v>
      </c>
      <c r="C173" s="29" t="s">
        <v>643</v>
      </c>
      <c r="D173" s="19" t="s">
        <v>846</v>
      </c>
      <c r="E173" s="19">
        <v>1997</v>
      </c>
      <c r="F173" s="72">
        <v>7</v>
      </c>
      <c r="G173" s="19">
        <v>4</v>
      </c>
      <c r="H173" s="28" t="s">
        <v>1047</v>
      </c>
      <c r="I173" s="28" t="s">
        <v>485</v>
      </c>
      <c r="J173" s="83">
        <v>93</v>
      </c>
      <c r="K173" s="83" t="s">
        <v>253</v>
      </c>
      <c r="L173" s="83">
        <f t="shared" si="4"/>
        <v>50.537634408602152</v>
      </c>
      <c r="M173" s="83" t="s">
        <v>253</v>
      </c>
      <c r="N173" s="83">
        <v>47</v>
      </c>
      <c r="O173" s="83" t="s">
        <v>253</v>
      </c>
      <c r="P173" s="19" t="s">
        <v>1060</v>
      </c>
      <c r="Q173" s="63"/>
    </row>
    <row r="174" spans="1:17" s="26" customFormat="1" ht="15">
      <c r="A174" s="19" t="s">
        <v>641</v>
      </c>
      <c r="B174" s="29" t="s">
        <v>642</v>
      </c>
      <c r="C174" s="29" t="s">
        <v>643</v>
      </c>
      <c r="D174" s="19" t="s">
        <v>644</v>
      </c>
      <c r="E174" s="19">
        <v>1997</v>
      </c>
      <c r="F174" s="72">
        <v>7</v>
      </c>
      <c r="G174" s="19">
        <v>9</v>
      </c>
      <c r="H174" s="28" t="s">
        <v>1047</v>
      </c>
      <c r="I174" s="28" t="s">
        <v>645</v>
      </c>
      <c r="J174" s="83">
        <v>64.22</v>
      </c>
      <c r="K174" s="83" t="s">
        <v>253</v>
      </c>
      <c r="L174" s="83">
        <f t="shared" si="4"/>
        <v>25.365929616941763</v>
      </c>
      <c r="M174" s="83" t="s">
        <v>253</v>
      </c>
      <c r="N174" s="83">
        <v>16.29</v>
      </c>
      <c r="O174" s="83" t="s">
        <v>253</v>
      </c>
      <c r="P174" s="19" t="s">
        <v>1062</v>
      </c>
      <c r="Q174" s="63"/>
    </row>
    <row r="175" spans="1:17" s="26" customFormat="1" ht="15">
      <c r="A175" s="19" t="s">
        <v>641</v>
      </c>
      <c r="B175" s="29" t="s">
        <v>642</v>
      </c>
      <c r="C175" s="29" t="s">
        <v>643</v>
      </c>
      <c r="D175" s="19" t="s">
        <v>846</v>
      </c>
      <c r="E175" s="19">
        <v>1997</v>
      </c>
      <c r="F175" s="72">
        <v>7</v>
      </c>
      <c r="G175" s="19">
        <v>9</v>
      </c>
      <c r="H175" s="28" t="s">
        <v>1047</v>
      </c>
      <c r="I175" s="28" t="s">
        <v>647</v>
      </c>
      <c r="J175" s="83">
        <v>0.67</v>
      </c>
      <c r="K175" s="83" t="s">
        <v>253</v>
      </c>
      <c r="L175" s="83">
        <f t="shared" si="4"/>
        <v>100</v>
      </c>
      <c r="M175" s="83" t="s">
        <v>253</v>
      </c>
      <c r="N175" s="83">
        <v>0.67</v>
      </c>
      <c r="O175" s="83" t="s">
        <v>253</v>
      </c>
      <c r="P175" s="19" t="s">
        <v>1062</v>
      </c>
      <c r="Q175" s="63"/>
    </row>
    <row r="176" spans="1:17" s="26" customFormat="1" ht="15">
      <c r="A176" s="19" t="s">
        <v>641</v>
      </c>
      <c r="B176" s="29" t="s">
        <v>642</v>
      </c>
      <c r="C176" s="29" t="s">
        <v>643</v>
      </c>
      <c r="D176" s="19" t="s">
        <v>846</v>
      </c>
      <c r="E176" s="19">
        <v>1997</v>
      </c>
      <c r="F176" s="72">
        <v>7</v>
      </c>
      <c r="G176" s="19">
        <v>9</v>
      </c>
      <c r="H176" s="28" t="s">
        <v>1047</v>
      </c>
      <c r="I176" s="28" t="s">
        <v>780</v>
      </c>
      <c r="J176" s="83">
        <v>1.8</v>
      </c>
      <c r="K176" s="83" t="s">
        <v>253</v>
      </c>
      <c r="L176" s="83">
        <f t="shared" si="4"/>
        <v>80</v>
      </c>
      <c r="M176" s="83" t="s">
        <v>253</v>
      </c>
      <c r="N176" s="83">
        <v>1.44</v>
      </c>
      <c r="O176" s="83" t="s">
        <v>253</v>
      </c>
      <c r="P176" s="19" t="s">
        <v>1062</v>
      </c>
      <c r="Q176" s="63"/>
    </row>
    <row r="177" spans="1:17" s="26" customFormat="1" ht="15">
      <c r="A177" s="19" t="s">
        <v>641</v>
      </c>
      <c r="B177" s="29" t="s">
        <v>642</v>
      </c>
      <c r="C177" s="29" t="s">
        <v>643</v>
      </c>
      <c r="D177" s="19" t="s">
        <v>846</v>
      </c>
      <c r="E177" s="19">
        <v>1997</v>
      </c>
      <c r="F177" s="72">
        <v>7</v>
      </c>
      <c r="G177" s="19">
        <v>9</v>
      </c>
      <c r="H177" s="28" t="s">
        <v>1047</v>
      </c>
      <c r="I177" s="28" t="s">
        <v>781</v>
      </c>
      <c r="J177" s="83">
        <v>5.66</v>
      </c>
      <c r="K177" s="83" t="s">
        <v>253</v>
      </c>
      <c r="L177" s="83">
        <f t="shared" si="4"/>
        <v>46.64310954063604</v>
      </c>
      <c r="M177" s="83" t="s">
        <v>253</v>
      </c>
      <c r="N177" s="83">
        <v>2.64</v>
      </c>
      <c r="O177" s="83" t="s">
        <v>253</v>
      </c>
      <c r="P177" s="19" t="s">
        <v>1062</v>
      </c>
      <c r="Q177" s="63"/>
    </row>
    <row r="178" spans="1:17" s="26" customFormat="1" ht="15">
      <c r="A178" s="19" t="s">
        <v>641</v>
      </c>
      <c r="B178" s="29" t="s">
        <v>642</v>
      </c>
      <c r="C178" s="29" t="s">
        <v>643</v>
      </c>
      <c r="D178" s="19" t="s">
        <v>846</v>
      </c>
      <c r="E178" s="19">
        <v>1997</v>
      </c>
      <c r="F178" s="72">
        <v>7</v>
      </c>
      <c r="G178" s="19">
        <v>9</v>
      </c>
      <c r="H178" s="28" t="s">
        <v>1047</v>
      </c>
      <c r="I178" s="28" t="s">
        <v>1067</v>
      </c>
      <c r="J178" s="83">
        <v>3.35</v>
      </c>
      <c r="K178" s="83" t="s">
        <v>253</v>
      </c>
      <c r="L178" s="83">
        <f t="shared" si="4"/>
        <v>28.059701492537307</v>
      </c>
      <c r="M178" s="83" t="s">
        <v>253</v>
      </c>
      <c r="N178" s="83">
        <v>0.94</v>
      </c>
      <c r="O178" s="83" t="s">
        <v>253</v>
      </c>
      <c r="P178" s="19" t="s">
        <v>1062</v>
      </c>
      <c r="Q178" s="63"/>
    </row>
    <row r="179" spans="1:17" s="26" customFormat="1" ht="15">
      <c r="A179" s="19" t="s">
        <v>641</v>
      </c>
      <c r="B179" s="29" t="s">
        <v>642</v>
      </c>
      <c r="C179" s="29" t="s">
        <v>643</v>
      </c>
      <c r="D179" s="19" t="s">
        <v>846</v>
      </c>
      <c r="E179" s="19">
        <v>1997</v>
      </c>
      <c r="F179" s="72">
        <v>7</v>
      </c>
      <c r="G179" s="19">
        <v>9</v>
      </c>
      <c r="H179" s="28" t="s">
        <v>1047</v>
      </c>
      <c r="I179" s="28" t="s">
        <v>1174</v>
      </c>
      <c r="J179" s="83">
        <v>1.75</v>
      </c>
      <c r="K179" s="83" t="s">
        <v>253</v>
      </c>
      <c r="L179" s="83">
        <f t="shared" si="4"/>
        <v>29.142857142857142</v>
      </c>
      <c r="M179" s="83" t="s">
        <v>253</v>
      </c>
      <c r="N179" s="83">
        <v>0.51</v>
      </c>
      <c r="O179" s="83" t="s">
        <v>253</v>
      </c>
      <c r="P179" s="19" t="s">
        <v>1062</v>
      </c>
      <c r="Q179" s="63"/>
    </row>
    <row r="180" spans="1:17" s="26" customFormat="1" ht="15">
      <c r="A180" s="19" t="s">
        <v>641</v>
      </c>
      <c r="B180" s="29" t="s">
        <v>642</v>
      </c>
      <c r="C180" s="29" t="s">
        <v>643</v>
      </c>
      <c r="D180" s="19" t="s">
        <v>846</v>
      </c>
      <c r="E180" s="19">
        <v>1997</v>
      </c>
      <c r="F180" s="72">
        <v>7</v>
      </c>
      <c r="G180" s="19">
        <v>9</v>
      </c>
      <c r="H180" s="28" t="s">
        <v>1047</v>
      </c>
      <c r="I180" s="28" t="s">
        <v>1175</v>
      </c>
      <c r="J180" s="83">
        <v>2.69</v>
      </c>
      <c r="K180" s="83" t="s">
        <v>253</v>
      </c>
      <c r="L180" s="83">
        <f t="shared" si="4"/>
        <v>63.940520446096649</v>
      </c>
      <c r="M180" s="83" t="s">
        <v>253</v>
      </c>
      <c r="N180" s="83">
        <v>1.72</v>
      </c>
      <c r="O180" s="83" t="s">
        <v>253</v>
      </c>
      <c r="P180" s="19" t="s">
        <v>1062</v>
      </c>
      <c r="Q180" s="63"/>
    </row>
    <row r="181" spans="1:17" s="26" customFormat="1" ht="15">
      <c r="A181" s="19" t="s">
        <v>641</v>
      </c>
      <c r="B181" s="29" t="s">
        <v>642</v>
      </c>
      <c r="C181" s="29" t="s">
        <v>643</v>
      </c>
      <c r="D181" s="19" t="s">
        <v>846</v>
      </c>
      <c r="E181" s="19">
        <v>1997</v>
      </c>
      <c r="F181" s="72">
        <v>7</v>
      </c>
      <c r="G181" s="19">
        <v>9</v>
      </c>
      <c r="H181" s="28" t="s">
        <v>1047</v>
      </c>
      <c r="I181" s="28" t="s">
        <v>1180</v>
      </c>
      <c r="J181" s="83">
        <v>0.87</v>
      </c>
      <c r="K181" s="83" t="s">
        <v>253</v>
      </c>
      <c r="L181" s="83">
        <f t="shared" si="4"/>
        <v>80.459770114942515</v>
      </c>
      <c r="M181" s="83" t="s">
        <v>253</v>
      </c>
      <c r="N181" s="83">
        <v>0.7</v>
      </c>
      <c r="O181" s="83" t="s">
        <v>253</v>
      </c>
      <c r="P181" s="19" t="s">
        <v>1062</v>
      </c>
      <c r="Q181" s="63"/>
    </row>
    <row r="182" spans="1:17" s="26" customFormat="1" ht="15">
      <c r="A182" s="19" t="s">
        <v>641</v>
      </c>
      <c r="B182" s="29" t="s">
        <v>642</v>
      </c>
      <c r="C182" s="29" t="s">
        <v>643</v>
      </c>
      <c r="D182" s="19" t="s">
        <v>846</v>
      </c>
      <c r="E182" s="19">
        <v>1997</v>
      </c>
      <c r="F182" s="72">
        <v>7</v>
      </c>
      <c r="G182" s="19">
        <v>9</v>
      </c>
      <c r="H182" s="28" t="s">
        <v>1047</v>
      </c>
      <c r="I182" s="28" t="s">
        <v>1181</v>
      </c>
      <c r="J182" s="83">
        <v>6.35</v>
      </c>
      <c r="K182" s="83" t="s">
        <v>253</v>
      </c>
      <c r="L182" s="83">
        <f t="shared" si="4"/>
        <v>81.574803149606296</v>
      </c>
      <c r="M182" s="83" t="s">
        <v>253</v>
      </c>
      <c r="N182" s="83">
        <v>5.18</v>
      </c>
      <c r="O182" s="83" t="s">
        <v>253</v>
      </c>
      <c r="P182" s="19" t="s">
        <v>1062</v>
      </c>
      <c r="Q182" s="63"/>
    </row>
    <row r="183" spans="1:17" s="26" customFormat="1" ht="15">
      <c r="A183" s="19" t="s">
        <v>641</v>
      </c>
      <c r="B183" s="29" t="s">
        <v>642</v>
      </c>
      <c r="C183" s="29" t="s">
        <v>643</v>
      </c>
      <c r="D183" s="19" t="s">
        <v>846</v>
      </c>
      <c r="E183" s="19">
        <v>1997</v>
      </c>
      <c r="F183" s="72">
        <v>7</v>
      </c>
      <c r="G183" s="19">
        <v>9</v>
      </c>
      <c r="H183" s="28" t="s">
        <v>1047</v>
      </c>
      <c r="I183" s="28" t="s">
        <v>1182</v>
      </c>
      <c r="J183" s="83">
        <v>3.2</v>
      </c>
      <c r="K183" s="83" t="s">
        <v>253</v>
      </c>
      <c r="L183" s="83">
        <f t="shared" si="4"/>
        <v>83.75</v>
      </c>
      <c r="M183" s="83" t="s">
        <v>253</v>
      </c>
      <c r="N183" s="83">
        <v>2.68</v>
      </c>
      <c r="O183" s="83" t="s">
        <v>253</v>
      </c>
      <c r="P183" s="19" t="s">
        <v>1062</v>
      </c>
      <c r="Q183" s="63"/>
    </row>
    <row r="184" spans="1:17" s="26" customFormat="1" ht="15">
      <c r="A184" s="19" t="s">
        <v>641</v>
      </c>
      <c r="B184" s="29" t="s">
        <v>642</v>
      </c>
      <c r="C184" s="29" t="s">
        <v>643</v>
      </c>
      <c r="D184" s="19" t="s">
        <v>846</v>
      </c>
      <c r="E184" s="19">
        <v>1997</v>
      </c>
      <c r="F184" s="72">
        <v>7</v>
      </c>
      <c r="G184" s="19">
        <v>9</v>
      </c>
      <c r="H184" s="28" t="s">
        <v>1047</v>
      </c>
      <c r="I184" s="28" t="s">
        <v>1054</v>
      </c>
      <c r="J184" s="83">
        <v>0.87</v>
      </c>
      <c r="K184" s="83" t="s">
        <v>253</v>
      </c>
      <c r="L184" s="83">
        <f t="shared" si="4"/>
        <v>78.160919540229884</v>
      </c>
      <c r="M184" s="83" t="s">
        <v>253</v>
      </c>
      <c r="N184" s="83">
        <v>0.68</v>
      </c>
      <c r="O184" s="83" t="s">
        <v>253</v>
      </c>
      <c r="P184" s="19" t="s">
        <v>1062</v>
      </c>
      <c r="Q184" s="63"/>
    </row>
    <row r="185" spans="1:17" s="26" customFormat="1" ht="15">
      <c r="A185" s="19" t="s">
        <v>641</v>
      </c>
      <c r="B185" s="29" t="s">
        <v>642</v>
      </c>
      <c r="C185" s="29" t="s">
        <v>643</v>
      </c>
      <c r="D185" s="19" t="s">
        <v>846</v>
      </c>
      <c r="E185" s="19">
        <v>1997</v>
      </c>
      <c r="F185" s="72">
        <v>7</v>
      </c>
      <c r="G185" s="19">
        <v>9</v>
      </c>
      <c r="H185" s="28" t="s">
        <v>1047</v>
      </c>
      <c r="I185" s="28" t="s">
        <v>485</v>
      </c>
      <c r="J185" s="83">
        <v>101</v>
      </c>
      <c r="K185" s="83" t="s">
        <v>253</v>
      </c>
      <c r="L185" s="83">
        <f t="shared" si="4"/>
        <v>33.663366336633665</v>
      </c>
      <c r="M185" s="83" t="s">
        <v>253</v>
      </c>
      <c r="N185" s="83">
        <v>34</v>
      </c>
      <c r="O185" s="83" t="s">
        <v>253</v>
      </c>
      <c r="P185" s="19" t="s">
        <v>1062</v>
      </c>
      <c r="Q185" s="63"/>
    </row>
    <row r="186" spans="1:17" s="26" customFormat="1" ht="15">
      <c r="A186" s="19" t="s">
        <v>641</v>
      </c>
      <c r="B186" s="29" t="s">
        <v>642</v>
      </c>
      <c r="C186" s="29" t="s">
        <v>643</v>
      </c>
      <c r="D186" s="19" t="s">
        <v>644</v>
      </c>
      <c r="E186" s="19">
        <v>1998</v>
      </c>
      <c r="F186" s="72">
        <v>7</v>
      </c>
      <c r="G186" s="19">
        <v>5</v>
      </c>
      <c r="H186" s="28" t="s">
        <v>1047</v>
      </c>
      <c r="I186" s="28" t="s">
        <v>645</v>
      </c>
      <c r="J186" s="83">
        <v>41.54</v>
      </c>
      <c r="K186" s="83" t="s">
        <v>253</v>
      </c>
      <c r="L186" s="83">
        <f t="shared" si="4"/>
        <v>42.176215695714973</v>
      </c>
      <c r="M186" s="83" t="s">
        <v>253</v>
      </c>
      <c r="N186" s="83">
        <v>17.52</v>
      </c>
      <c r="O186" s="83" t="s">
        <v>253</v>
      </c>
      <c r="P186" s="19" t="s">
        <v>1177</v>
      </c>
      <c r="Q186" s="63"/>
    </row>
    <row r="187" spans="1:17" s="26" customFormat="1" ht="15">
      <c r="A187" s="19" t="s">
        <v>641</v>
      </c>
      <c r="B187" s="29" t="s">
        <v>642</v>
      </c>
      <c r="C187" s="29" t="s">
        <v>643</v>
      </c>
      <c r="D187" s="19" t="s">
        <v>846</v>
      </c>
      <c r="E187" s="19">
        <v>1998</v>
      </c>
      <c r="F187" s="72">
        <v>7</v>
      </c>
      <c r="G187" s="19">
        <v>5</v>
      </c>
      <c r="H187" s="28" t="s">
        <v>1047</v>
      </c>
      <c r="I187" s="28" t="s">
        <v>647</v>
      </c>
      <c r="J187" s="83">
        <v>0.72</v>
      </c>
      <c r="K187" s="83" t="s">
        <v>253</v>
      </c>
      <c r="L187" s="83">
        <f t="shared" si="4"/>
        <v>100</v>
      </c>
      <c r="M187" s="83" t="s">
        <v>253</v>
      </c>
      <c r="N187" s="83">
        <v>0.72</v>
      </c>
      <c r="O187" s="83" t="s">
        <v>253</v>
      </c>
      <c r="P187" s="19" t="s">
        <v>1177</v>
      </c>
      <c r="Q187" s="63"/>
    </row>
    <row r="188" spans="1:17" s="26" customFormat="1" ht="15">
      <c r="A188" s="19" t="s">
        <v>641</v>
      </c>
      <c r="B188" s="29" t="s">
        <v>642</v>
      </c>
      <c r="C188" s="29" t="s">
        <v>643</v>
      </c>
      <c r="D188" s="19" t="s">
        <v>846</v>
      </c>
      <c r="E188" s="19">
        <v>1998</v>
      </c>
      <c r="F188" s="72">
        <v>7</v>
      </c>
      <c r="G188" s="19">
        <v>5</v>
      </c>
      <c r="H188" s="28" t="s">
        <v>1047</v>
      </c>
      <c r="I188" s="28" t="s">
        <v>780</v>
      </c>
      <c r="J188" s="83">
        <v>1.72</v>
      </c>
      <c r="K188" s="83" t="s">
        <v>253</v>
      </c>
      <c r="L188" s="83">
        <f t="shared" si="4"/>
        <v>72.674418604651152</v>
      </c>
      <c r="M188" s="83" t="s">
        <v>253</v>
      </c>
      <c r="N188" s="83">
        <v>1.25</v>
      </c>
      <c r="O188" s="83" t="s">
        <v>253</v>
      </c>
      <c r="P188" s="19" t="s">
        <v>1177</v>
      </c>
      <c r="Q188" s="63"/>
    </row>
    <row r="189" spans="1:17" s="26" customFormat="1" ht="15">
      <c r="A189" s="19" t="s">
        <v>641</v>
      </c>
      <c r="B189" s="29" t="s">
        <v>642</v>
      </c>
      <c r="C189" s="29" t="s">
        <v>643</v>
      </c>
      <c r="D189" s="19" t="s">
        <v>846</v>
      </c>
      <c r="E189" s="19">
        <v>1998</v>
      </c>
      <c r="F189" s="72">
        <v>7</v>
      </c>
      <c r="G189" s="19">
        <v>5</v>
      </c>
      <c r="H189" s="28" t="s">
        <v>1047</v>
      </c>
      <c r="I189" s="28" t="s">
        <v>781</v>
      </c>
      <c r="J189" s="83">
        <v>3.61</v>
      </c>
      <c r="K189" s="83" t="s">
        <v>253</v>
      </c>
      <c r="L189" s="83">
        <f t="shared" si="4"/>
        <v>95.567867036011094</v>
      </c>
      <c r="M189" s="83" t="s">
        <v>253</v>
      </c>
      <c r="N189" s="83">
        <v>3.45</v>
      </c>
      <c r="O189" s="83" t="s">
        <v>253</v>
      </c>
      <c r="P189" s="19" t="s">
        <v>1177</v>
      </c>
      <c r="Q189" s="63"/>
    </row>
    <row r="190" spans="1:17" s="26" customFormat="1" ht="15">
      <c r="A190" s="19" t="s">
        <v>641</v>
      </c>
      <c r="B190" s="29" t="s">
        <v>642</v>
      </c>
      <c r="C190" s="29" t="s">
        <v>643</v>
      </c>
      <c r="D190" s="19" t="s">
        <v>846</v>
      </c>
      <c r="E190" s="19">
        <v>1998</v>
      </c>
      <c r="F190" s="72">
        <v>7</v>
      </c>
      <c r="G190" s="19">
        <v>5</v>
      </c>
      <c r="H190" s="28" t="s">
        <v>1047</v>
      </c>
      <c r="I190" s="28" t="s">
        <v>1067</v>
      </c>
      <c r="J190" s="83">
        <v>2.06</v>
      </c>
      <c r="K190" s="83" t="s">
        <v>253</v>
      </c>
      <c r="L190" s="83">
        <f t="shared" si="4"/>
        <v>56.796116504854368</v>
      </c>
      <c r="M190" s="83" t="s">
        <v>253</v>
      </c>
      <c r="N190" s="83">
        <v>1.17</v>
      </c>
      <c r="O190" s="83" t="s">
        <v>253</v>
      </c>
      <c r="P190" s="19" t="s">
        <v>1177</v>
      </c>
      <c r="Q190" s="63"/>
    </row>
    <row r="191" spans="1:17" s="26" customFormat="1" ht="15">
      <c r="A191" s="19" t="s">
        <v>641</v>
      </c>
      <c r="B191" s="29" t="s">
        <v>642</v>
      </c>
      <c r="C191" s="29" t="s">
        <v>643</v>
      </c>
      <c r="D191" s="19" t="s">
        <v>846</v>
      </c>
      <c r="E191" s="19">
        <v>1998</v>
      </c>
      <c r="F191" s="72">
        <v>7</v>
      </c>
      <c r="G191" s="19">
        <v>5</v>
      </c>
      <c r="H191" s="28" t="s">
        <v>1047</v>
      </c>
      <c r="I191" s="28" t="s">
        <v>1174</v>
      </c>
      <c r="J191" s="83">
        <v>1.4</v>
      </c>
      <c r="K191" s="83" t="s">
        <v>253</v>
      </c>
      <c r="L191" s="83">
        <f t="shared" si="4"/>
        <v>48.571428571428577</v>
      </c>
      <c r="M191" s="83" t="s">
        <v>253</v>
      </c>
      <c r="N191" s="83">
        <v>0.68</v>
      </c>
      <c r="O191" s="83" t="s">
        <v>253</v>
      </c>
      <c r="P191" s="19" t="s">
        <v>1177</v>
      </c>
      <c r="Q191" s="63"/>
    </row>
    <row r="192" spans="1:17" s="26" customFormat="1" ht="15">
      <c r="A192" s="19" t="s">
        <v>641</v>
      </c>
      <c r="B192" s="29" t="s">
        <v>642</v>
      </c>
      <c r="C192" s="29" t="s">
        <v>643</v>
      </c>
      <c r="D192" s="19" t="s">
        <v>846</v>
      </c>
      <c r="E192" s="19">
        <v>1998</v>
      </c>
      <c r="F192" s="72">
        <v>7</v>
      </c>
      <c r="G192" s="19">
        <v>5</v>
      </c>
      <c r="H192" s="28" t="s">
        <v>1047</v>
      </c>
      <c r="I192" s="28" t="s">
        <v>1175</v>
      </c>
      <c r="J192" s="83">
        <v>1.76</v>
      </c>
      <c r="K192" s="83" t="s">
        <v>253</v>
      </c>
      <c r="L192" s="83">
        <f t="shared" si="4"/>
        <v>98.295454545454547</v>
      </c>
      <c r="M192" s="83" t="s">
        <v>253</v>
      </c>
      <c r="N192" s="83">
        <v>1.73</v>
      </c>
      <c r="O192" s="83" t="s">
        <v>253</v>
      </c>
      <c r="P192" s="19" t="s">
        <v>1177</v>
      </c>
      <c r="Q192" s="63"/>
    </row>
    <row r="193" spans="1:17" s="26" customFormat="1" ht="15">
      <c r="A193" s="19" t="s">
        <v>641</v>
      </c>
      <c r="B193" s="29" t="s">
        <v>642</v>
      </c>
      <c r="C193" s="29" t="s">
        <v>643</v>
      </c>
      <c r="D193" s="19" t="s">
        <v>846</v>
      </c>
      <c r="E193" s="19">
        <v>1998</v>
      </c>
      <c r="F193" s="72">
        <v>7</v>
      </c>
      <c r="G193" s="19">
        <v>5</v>
      </c>
      <c r="H193" s="28" t="s">
        <v>1047</v>
      </c>
      <c r="I193" s="28" t="s">
        <v>1180</v>
      </c>
      <c r="J193" s="83">
        <v>0.56999999999999995</v>
      </c>
      <c r="K193" s="83" t="s">
        <v>253</v>
      </c>
      <c r="L193" s="83">
        <f t="shared" si="4"/>
        <v>96.491228070175453</v>
      </c>
      <c r="M193" s="83" t="s">
        <v>253</v>
      </c>
      <c r="N193" s="83">
        <v>0.55000000000000004</v>
      </c>
      <c r="O193" s="83" t="s">
        <v>253</v>
      </c>
      <c r="P193" s="19" t="s">
        <v>1177</v>
      </c>
      <c r="Q193" s="63"/>
    </row>
    <row r="194" spans="1:17" s="26" customFormat="1" ht="15">
      <c r="A194" s="19" t="s">
        <v>641</v>
      </c>
      <c r="B194" s="29" t="s">
        <v>642</v>
      </c>
      <c r="C194" s="29" t="s">
        <v>643</v>
      </c>
      <c r="D194" s="19" t="s">
        <v>846</v>
      </c>
      <c r="E194" s="19">
        <v>1998</v>
      </c>
      <c r="F194" s="72">
        <v>7</v>
      </c>
      <c r="G194" s="19">
        <v>5</v>
      </c>
      <c r="H194" s="28" t="s">
        <v>1047</v>
      </c>
      <c r="I194" s="28" t="s">
        <v>1181</v>
      </c>
      <c r="J194" s="83">
        <v>7.35</v>
      </c>
      <c r="K194" s="83" t="s">
        <v>253</v>
      </c>
      <c r="L194" s="83">
        <f t="shared" si="4"/>
        <v>91.700680272108855</v>
      </c>
      <c r="M194" s="83" t="s">
        <v>253</v>
      </c>
      <c r="N194" s="83">
        <v>6.74</v>
      </c>
      <c r="O194" s="83" t="s">
        <v>253</v>
      </c>
      <c r="P194" s="19" t="s">
        <v>1177</v>
      </c>
      <c r="Q194" s="63"/>
    </row>
    <row r="195" spans="1:17" s="26" customFormat="1" ht="15">
      <c r="A195" s="19" t="s">
        <v>641</v>
      </c>
      <c r="B195" s="29" t="s">
        <v>642</v>
      </c>
      <c r="C195" s="29" t="s">
        <v>643</v>
      </c>
      <c r="D195" s="19" t="s">
        <v>846</v>
      </c>
      <c r="E195" s="19">
        <v>1998</v>
      </c>
      <c r="F195" s="72">
        <v>7</v>
      </c>
      <c r="G195" s="19">
        <v>5</v>
      </c>
      <c r="H195" s="28" t="s">
        <v>1047</v>
      </c>
      <c r="I195" s="28" t="s">
        <v>1178</v>
      </c>
      <c r="J195" s="83">
        <v>3.81</v>
      </c>
      <c r="K195" s="83" t="s">
        <v>253</v>
      </c>
      <c r="L195" s="83">
        <f t="shared" si="4"/>
        <v>65.879265091863516</v>
      </c>
      <c r="M195" s="83" t="s">
        <v>253</v>
      </c>
      <c r="N195" s="83">
        <v>2.5099999999999998</v>
      </c>
      <c r="O195" s="83" t="s">
        <v>253</v>
      </c>
      <c r="P195" s="19" t="s">
        <v>1177</v>
      </c>
      <c r="Q195" s="63"/>
    </row>
    <row r="196" spans="1:17" s="26" customFormat="1" ht="15">
      <c r="A196" s="19" t="s">
        <v>641</v>
      </c>
      <c r="B196" s="29" t="s">
        <v>642</v>
      </c>
      <c r="C196" s="29" t="s">
        <v>643</v>
      </c>
      <c r="D196" s="19" t="s">
        <v>846</v>
      </c>
      <c r="E196" s="19">
        <v>1998</v>
      </c>
      <c r="F196" s="72">
        <v>7</v>
      </c>
      <c r="G196" s="19">
        <v>5</v>
      </c>
      <c r="H196" s="28" t="s">
        <v>1047</v>
      </c>
      <c r="I196" s="28" t="s">
        <v>1054</v>
      </c>
      <c r="J196" s="83">
        <v>2.21</v>
      </c>
      <c r="K196" s="83" t="s">
        <v>253</v>
      </c>
      <c r="L196" s="83">
        <f t="shared" si="4"/>
        <v>24.886877828054303</v>
      </c>
      <c r="M196" s="83" t="s">
        <v>253</v>
      </c>
      <c r="N196" s="83">
        <v>0.55000000000000004</v>
      </c>
      <c r="O196" s="83" t="s">
        <v>253</v>
      </c>
      <c r="P196" s="19" t="s">
        <v>1177</v>
      </c>
      <c r="Q196" s="63"/>
    </row>
    <row r="197" spans="1:17" s="26" customFormat="1" ht="15">
      <c r="A197" s="19" t="s">
        <v>641</v>
      </c>
      <c r="B197" s="29" t="s">
        <v>642</v>
      </c>
      <c r="C197" s="29" t="s">
        <v>643</v>
      </c>
      <c r="D197" s="19" t="s">
        <v>846</v>
      </c>
      <c r="E197" s="19">
        <v>1998</v>
      </c>
      <c r="F197" s="72">
        <v>7</v>
      </c>
      <c r="G197" s="19">
        <v>5</v>
      </c>
      <c r="H197" s="28" t="s">
        <v>1047</v>
      </c>
      <c r="I197" s="28" t="s">
        <v>485</v>
      </c>
      <c r="J197" s="83">
        <v>76</v>
      </c>
      <c r="K197" s="83" t="s">
        <v>253</v>
      </c>
      <c r="L197" s="83">
        <f t="shared" si="4"/>
        <v>48.684210526315788</v>
      </c>
      <c r="M197" s="83" t="s">
        <v>253</v>
      </c>
      <c r="N197" s="83">
        <v>37</v>
      </c>
      <c r="O197" s="83" t="s">
        <v>253</v>
      </c>
      <c r="P197" s="19" t="s">
        <v>1177</v>
      </c>
      <c r="Q197" s="63"/>
    </row>
    <row r="198" spans="1:17" s="26" customFormat="1" ht="15">
      <c r="A198" s="19" t="s">
        <v>641</v>
      </c>
      <c r="B198" s="29" t="s">
        <v>642</v>
      </c>
      <c r="C198" s="29" t="s">
        <v>643</v>
      </c>
      <c r="D198" s="19" t="s">
        <v>644</v>
      </c>
      <c r="E198" s="19">
        <v>1998</v>
      </c>
      <c r="F198" s="72">
        <v>7</v>
      </c>
      <c r="G198" s="19">
        <v>4</v>
      </c>
      <c r="H198" s="28" t="s">
        <v>1047</v>
      </c>
      <c r="I198" s="28" t="s">
        <v>645</v>
      </c>
      <c r="J198" s="83">
        <v>45.69</v>
      </c>
      <c r="K198" s="83" t="s">
        <v>253</v>
      </c>
      <c r="L198" s="83">
        <f t="shared" si="4"/>
        <v>37.185379732983151</v>
      </c>
      <c r="M198" s="83" t="s">
        <v>253</v>
      </c>
      <c r="N198" s="83">
        <v>16.989999999999998</v>
      </c>
      <c r="O198" s="83" t="s">
        <v>253</v>
      </c>
      <c r="P198" s="19" t="s">
        <v>1123</v>
      </c>
      <c r="Q198" s="63"/>
    </row>
    <row r="199" spans="1:17" s="26" customFormat="1" ht="15">
      <c r="A199" s="19" t="s">
        <v>641</v>
      </c>
      <c r="B199" s="29" t="s">
        <v>642</v>
      </c>
      <c r="C199" s="29" t="s">
        <v>643</v>
      </c>
      <c r="D199" s="19" t="s">
        <v>846</v>
      </c>
      <c r="E199" s="19">
        <v>1998</v>
      </c>
      <c r="F199" s="72">
        <v>7</v>
      </c>
      <c r="G199" s="19">
        <v>4</v>
      </c>
      <c r="H199" s="28" t="s">
        <v>1047</v>
      </c>
      <c r="I199" s="28" t="s">
        <v>647</v>
      </c>
      <c r="J199" s="83">
        <v>0.79</v>
      </c>
      <c r="K199" s="83" t="s">
        <v>253</v>
      </c>
      <c r="L199" s="83">
        <f t="shared" si="4"/>
        <v>100</v>
      </c>
      <c r="M199" s="83" t="s">
        <v>253</v>
      </c>
      <c r="N199" s="83">
        <v>0.79</v>
      </c>
      <c r="O199" s="83" t="s">
        <v>253</v>
      </c>
      <c r="P199" s="19" t="s">
        <v>1123</v>
      </c>
      <c r="Q199" s="63"/>
    </row>
    <row r="200" spans="1:17" s="26" customFormat="1" ht="15">
      <c r="A200" s="19" t="s">
        <v>641</v>
      </c>
      <c r="B200" s="29" t="s">
        <v>642</v>
      </c>
      <c r="C200" s="29" t="s">
        <v>643</v>
      </c>
      <c r="D200" s="19" t="s">
        <v>846</v>
      </c>
      <c r="E200" s="19">
        <v>1998</v>
      </c>
      <c r="F200" s="72">
        <v>7</v>
      </c>
      <c r="G200" s="19">
        <v>4</v>
      </c>
      <c r="H200" s="28" t="s">
        <v>1047</v>
      </c>
      <c r="I200" s="28" t="s">
        <v>780</v>
      </c>
      <c r="J200" s="83">
        <v>1.72</v>
      </c>
      <c r="K200" s="83" t="s">
        <v>253</v>
      </c>
      <c r="L200" s="83">
        <f t="shared" si="4"/>
        <v>68.023255813953483</v>
      </c>
      <c r="M200" s="83" t="s">
        <v>253</v>
      </c>
      <c r="N200" s="83">
        <v>1.17</v>
      </c>
      <c r="O200" s="83" t="s">
        <v>253</v>
      </c>
      <c r="P200" s="19" t="s">
        <v>1123</v>
      </c>
      <c r="Q200" s="63"/>
    </row>
    <row r="201" spans="1:17" s="26" customFormat="1" ht="15">
      <c r="A201" s="19" t="s">
        <v>641</v>
      </c>
      <c r="B201" s="29" t="s">
        <v>642</v>
      </c>
      <c r="C201" s="29" t="s">
        <v>643</v>
      </c>
      <c r="D201" s="19" t="s">
        <v>846</v>
      </c>
      <c r="E201" s="19">
        <v>1998</v>
      </c>
      <c r="F201" s="72">
        <v>7</v>
      </c>
      <c r="G201" s="19">
        <v>4</v>
      </c>
      <c r="H201" s="28" t="s">
        <v>1047</v>
      </c>
      <c r="I201" s="28" t="s">
        <v>781</v>
      </c>
      <c r="J201" s="83">
        <v>6.86</v>
      </c>
      <c r="K201" s="83" t="s">
        <v>253</v>
      </c>
      <c r="L201" s="83">
        <f t="shared" si="4"/>
        <v>57.871720116618079</v>
      </c>
      <c r="M201" s="83" t="s">
        <v>253</v>
      </c>
      <c r="N201" s="83">
        <v>3.97</v>
      </c>
      <c r="O201" s="83" t="s">
        <v>253</v>
      </c>
      <c r="P201" s="19" t="s">
        <v>1123</v>
      </c>
      <c r="Q201" s="63"/>
    </row>
    <row r="202" spans="1:17" s="26" customFormat="1" ht="15">
      <c r="A202" s="19" t="s">
        <v>641</v>
      </c>
      <c r="B202" s="29" t="s">
        <v>642</v>
      </c>
      <c r="C202" s="29" t="s">
        <v>643</v>
      </c>
      <c r="D202" s="19" t="s">
        <v>846</v>
      </c>
      <c r="E202" s="19">
        <v>1998</v>
      </c>
      <c r="F202" s="72">
        <v>7</v>
      </c>
      <c r="G202" s="19">
        <v>4</v>
      </c>
      <c r="H202" s="28" t="s">
        <v>1047</v>
      </c>
      <c r="I202" s="28" t="s">
        <v>1067</v>
      </c>
      <c r="J202" s="83">
        <v>4</v>
      </c>
      <c r="K202" s="83" t="s">
        <v>253</v>
      </c>
      <c r="L202" s="83">
        <f t="shared" si="4"/>
        <v>40</v>
      </c>
      <c r="M202" s="83" t="s">
        <v>253</v>
      </c>
      <c r="N202" s="83">
        <v>1.6</v>
      </c>
      <c r="O202" s="83" t="s">
        <v>253</v>
      </c>
      <c r="P202" s="19" t="s">
        <v>1123</v>
      </c>
      <c r="Q202" s="63"/>
    </row>
    <row r="203" spans="1:17" s="26" customFormat="1" ht="15">
      <c r="A203" s="19" t="s">
        <v>641</v>
      </c>
      <c r="B203" s="29" t="s">
        <v>642</v>
      </c>
      <c r="C203" s="29" t="s">
        <v>643</v>
      </c>
      <c r="D203" s="19" t="s">
        <v>846</v>
      </c>
      <c r="E203" s="19">
        <v>1998</v>
      </c>
      <c r="F203" s="72">
        <v>7</v>
      </c>
      <c r="G203" s="19">
        <v>4</v>
      </c>
      <c r="H203" s="28" t="s">
        <v>1047</v>
      </c>
      <c r="I203" s="28" t="s">
        <v>1174</v>
      </c>
      <c r="J203" s="83">
        <v>2.1</v>
      </c>
      <c r="K203" s="83" t="s">
        <v>253</v>
      </c>
      <c r="L203" s="83">
        <f t="shared" si="4"/>
        <v>59.523809523809526</v>
      </c>
      <c r="M203" s="83" t="s">
        <v>253</v>
      </c>
      <c r="N203" s="83">
        <v>1.25</v>
      </c>
      <c r="O203" s="83" t="s">
        <v>253</v>
      </c>
      <c r="P203" s="19" t="s">
        <v>1123</v>
      </c>
      <c r="Q203" s="63"/>
    </row>
    <row r="204" spans="1:17" s="26" customFormat="1" ht="15">
      <c r="A204" s="19" t="s">
        <v>641</v>
      </c>
      <c r="B204" s="29" t="s">
        <v>642</v>
      </c>
      <c r="C204" s="29" t="s">
        <v>643</v>
      </c>
      <c r="D204" s="19" t="s">
        <v>846</v>
      </c>
      <c r="E204" s="19">
        <v>1998</v>
      </c>
      <c r="F204" s="72">
        <v>7</v>
      </c>
      <c r="G204" s="19">
        <v>4</v>
      </c>
      <c r="H204" s="28" t="s">
        <v>1047</v>
      </c>
      <c r="I204" s="28" t="s">
        <v>1175</v>
      </c>
      <c r="J204" s="83">
        <v>1.73</v>
      </c>
      <c r="K204" s="83" t="s">
        <v>253</v>
      </c>
      <c r="L204" s="83">
        <f t="shared" si="4"/>
        <v>93.063583815028906</v>
      </c>
      <c r="M204" s="83" t="s">
        <v>253</v>
      </c>
      <c r="N204" s="83">
        <v>1.61</v>
      </c>
      <c r="O204" s="83" t="s">
        <v>253</v>
      </c>
      <c r="P204" s="19" t="s">
        <v>1123</v>
      </c>
      <c r="Q204" s="63"/>
    </row>
    <row r="205" spans="1:17" s="26" customFormat="1" ht="15">
      <c r="A205" s="19" t="s">
        <v>641</v>
      </c>
      <c r="B205" s="29" t="s">
        <v>642</v>
      </c>
      <c r="C205" s="29" t="s">
        <v>643</v>
      </c>
      <c r="D205" s="19" t="s">
        <v>846</v>
      </c>
      <c r="E205" s="19">
        <v>1998</v>
      </c>
      <c r="F205" s="72">
        <v>7</v>
      </c>
      <c r="G205" s="19">
        <v>4</v>
      </c>
      <c r="H205" s="28" t="s">
        <v>1047</v>
      </c>
      <c r="I205" s="28" t="s">
        <v>1180</v>
      </c>
      <c r="J205" s="83">
        <v>0.56999999999999995</v>
      </c>
      <c r="K205" s="83" t="s">
        <v>253</v>
      </c>
      <c r="L205" s="83">
        <f t="shared" si="4"/>
        <v>94.736842105263179</v>
      </c>
      <c r="M205" s="83" t="s">
        <v>253</v>
      </c>
      <c r="N205" s="83">
        <v>0.54</v>
      </c>
      <c r="O205" s="83" t="s">
        <v>253</v>
      </c>
      <c r="P205" s="19" t="s">
        <v>1123</v>
      </c>
      <c r="Q205" s="63"/>
    </row>
    <row r="206" spans="1:17" s="26" customFormat="1" ht="15">
      <c r="A206" s="19" t="s">
        <v>641</v>
      </c>
      <c r="B206" s="29" t="s">
        <v>642</v>
      </c>
      <c r="C206" s="29" t="s">
        <v>643</v>
      </c>
      <c r="D206" s="19" t="s">
        <v>846</v>
      </c>
      <c r="E206" s="19">
        <v>1998</v>
      </c>
      <c r="F206" s="72">
        <v>7</v>
      </c>
      <c r="G206" s="19">
        <v>4</v>
      </c>
      <c r="H206" s="28" t="s">
        <v>1047</v>
      </c>
      <c r="I206" s="28" t="s">
        <v>1181</v>
      </c>
      <c r="J206" s="83">
        <v>6.73</v>
      </c>
      <c r="K206" s="83" t="s">
        <v>253</v>
      </c>
      <c r="L206" s="83">
        <f t="shared" si="4"/>
        <v>92.570579494799404</v>
      </c>
      <c r="M206" s="83" t="s">
        <v>253</v>
      </c>
      <c r="N206" s="83">
        <v>6.23</v>
      </c>
      <c r="O206" s="83" t="s">
        <v>253</v>
      </c>
      <c r="P206" s="19" t="s">
        <v>1123</v>
      </c>
      <c r="Q206" s="63"/>
    </row>
    <row r="207" spans="1:17" s="26" customFormat="1" ht="15">
      <c r="A207" s="19" t="s">
        <v>641</v>
      </c>
      <c r="B207" s="29" t="s">
        <v>642</v>
      </c>
      <c r="C207" s="29" t="s">
        <v>643</v>
      </c>
      <c r="D207" s="19" t="s">
        <v>846</v>
      </c>
      <c r="E207" s="19">
        <v>1998</v>
      </c>
      <c r="F207" s="72">
        <v>7</v>
      </c>
      <c r="G207" s="19">
        <v>4</v>
      </c>
      <c r="H207" s="28" t="s">
        <v>1047</v>
      </c>
      <c r="I207" s="28" t="s">
        <v>1182</v>
      </c>
      <c r="J207" s="83">
        <v>3.36</v>
      </c>
      <c r="K207" s="83" t="s">
        <v>253</v>
      </c>
      <c r="L207" s="83">
        <f t="shared" si="4"/>
        <v>79.166666666666671</v>
      </c>
      <c r="M207" s="83" t="s">
        <v>253</v>
      </c>
      <c r="N207" s="83">
        <v>2.66</v>
      </c>
      <c r="O207" s="83" t="s">
        <v>253</v>
      </c>
      <c r="P207" s="19" t="s">
        <v>1123</v>
      </c>
      <c r="Q207" s="63"/>
    </row>
    <row r="208" spans="1:17" s="26" customFormat="1" ht="15">
      <c r="A208" s="19" t="s">
        <v>641</v>
      </c>
      <c r="B208" s="29" t="s">
        <v>642</v>
      </c>
      <c r="C208" s="29" t="s">
        <v>643</v>
      </c>
      <c r="D208" s="19" t="s">
        <v>846</v>
      </c>
      <c r="E208" s="19">
        <v>1998</v>
      </c>
      <c r="F208" s="72">
        <v>7</v>
      </c>
      <c r="G208" s="19">
        <v>4</v>
      </c>
      <c r="H208" s="28" t="s">
        <v>1047</v>
      </c>
      <c r="I208" s="28" t="s">
        <v>1054</v>
      </c>
      <c r="J208" s="83">
        <v>0.97</v>
      </c>
      <c r="K208" s="83" t="s">
        <v>253</v>
      </c>
      <c r="L208" s="83">
        <f t="shared" si="4"/>
        <v>60.824742268041234</v>
      </c>
      <c r="M208" s="83" t="s">
        <v>253</v>
      </c>
      <c r="N208" s="83">
        <v>0.59</v>
      </c>
      <c r="O208" s="83" t="s">
        <v>253</v>
      </c>
      <c r="P208" s="19" t="s">
        <v>1123</v>
      </c>
      <c r="Q208" s="63"/>
    </row>
    <row r="209" spans="1:17" s="26" customFormat="1" ht="15">
      <c r="A209" s="19" t="s">
        <v>641</v>
      </c>
      <c r="B209" s="29" t="s">
        <v>642</v>
      </c>
      <c r="C209" s="29" t="s">
        <v>643</v>
      </c>
      <c r="D209" s="19" t="s">
        <v>846</v>
      </c>
      <c r="E209" s="19">
        <v>1998</v>
      </c>
      <c r="F209" s="72">
        <v>7</v>
      </c>
      <c r="G209" s="19">
        <v>4</v>
      </c>
      <c r="H209" s="28" t="s">
        <v>1047</v>
      </c>
      <c r="I209" s="28" t="s">
        <v>485</v>
      </c>
      <c r="J209" s="83">
        <v>84</v>
      </c>
      <c r="K209" s="83" t="s">
        <v>253</v>
      </c>
      <c r="L209" s="83">
        <f t="shared" si="4"/>
        <v>44.047619047619044</v>
      </c>
      <c r="M209" s="83" t="s">
        <v>253</v>
      </c>
      <c r="N209" s="83">
        <v>37</v>
      </c>
      <c r="O209" s="83" t="s">
        <v>253</v>
      </c>
      <c r="P209" s="19" t="s">
        <v>1123</v>
      </c>
      <c r="Q209" s="63"/>
    </row>
    <row r="210" spans="1:17" s="26" customFormat="1" ht="15">
      <c r="A210" s="19" t="s">
        <v>641</v>
      </c>
      <c r="B210" s="29" t="s">
        <v>642</v>
      </c>
      <c r="C210" s="29" t="s">
        <v>643</v>
      </c>
      <c r="D210" s="19" t="s">
        <v>644</v>
      </c>
      <c r="E210" s="19">
        <v>1999</v>
      </c>
      <c r="F210" s="72">
        <v>6</v>
      </c>
      <c r="G210" s="19">
        <v>19</v>
      </c>
      <c r="H210" s="28" t="s">
        <v>1047</v>
      </c>
      <c r="I210" s="28" t="s">
        <v>645</v>
      </c>
      <c r="J210" s="83">
        <v>47.25</v>
      </c>
      <c r="K210" s="83" t="s">
        <v>253</v>
      </c>
      <c r="L210" s="83">
        <f t="shared" si="4"/>
        <v>35.957671957671955</v>
      </c>
      <c r="M210" s="83" t="s">
        <v>253</v>
      </c>
      <c r="N210" s="83">
        <v>16.989999999999998</v>
      </c>
      <c r="O210" s="83" t="s">
        <v>253</v>
      </c>
      <c r="P210" s="19" t="s">
        <v>1124</v>
      </c>
      <c r="Q210" s="63"/>
    </row>
    <row r="211" spans="1:17" s="26" customFormat="1" ht="15">
      <c r="A211" s="19" t="s">
        <v>641</v>
      </c>
      <c r="B211" s="29" t="s">
        <v>642</v>
      </c>
      <c r="C211" s="29" t="s">
        <v>643</v>
      </c>
      <c r="D211" s="19" t="s">
        <v>846</v>
      </c>
      <c r="E211" s="19">
        <v>1999</v>
      </c>
      <c r="F211" s="72">
        <v>6</v>
      </c>
      <c r="G211" s="19">
        <v>19</v>
      </c>
      <c r="H211" s="28" t="s">
        <v>1047</v>
      </c>
      <c r="I211" s="28" t="s">
        <v>647</v>
      </c>
      <c r="J211" s="83">
        <v>0.78</v>
      </c>
      <c r="K211" s="83" t="s">
        <v>253</v>
      </c>
      <c r="L211" s="83">
        <f t="shared" si="4"/>
        <v>100</v>
      </c>
      <c r="M211" s="83" t="s">
        <v>253</v>
      </c>
      <c r="N211" s="83">
        <v>0.78</v>
      </c>
      <c r="O211" s="83" t="s">
        <v>253</v>
      </c>
      <c r="P211" s="19" t="s">
        <v>1124</v>
      </c>
      <c r="Q211" s="63"/>
    </row>
    <row r="212" spans="1:17" s="26" customFormat="1" ht="15">
      <c r="A212" s="19" t="s">
        <v>641</v>
      </c>
      <c r="B212" s="29" t="s">
        <v>642</v>
      </c>
      <c r="C212" s="29" t="s">
        <v>643</v>
      </c>
      <c r="D212" s="19" t="s">
        <v>846</v>
      </c>
      <c r="E212" s="19">
        <v>1999</v>
      </c>
      <c r="F212" s="72">
        <v>6</v>
      </c>
      <c r="G212" s="19">
        <v>19</v>
      </c>
      <c r="H212" s="28" t="s">
        <v>1047</v>
      </c>
      <c r="I212" s="28" t="s">
        <v>780</v>
      </c>
      <c r="J212" s="83">
        <v>2.04</v>
      </c>
      <c r="K212" s="83" t="s">
        <v>253</v>
      </c>
      <c r="L212" s="83">
        <f t="shared" si="4"/>
        <v>63.235294117647058</v>
      </c>
      <c r="M212" s="83" t="s">
        <v>253</v>
      </c>
      <c r="N212" s="83">
        <v>1.29</v>
      </c>
      <c r="O212" s="83" t="s">
        <v>253</v>
      </c>
      <c r="P212" s="19" t="s">
        <v>1124</v>
      </c>
      <c r="Q212" s="63"/>
    </row>
    <row r="213" spans="1:17" s="26" customFormat="1" ht="15">
      <c r="A213" s="19" t="s">
        <v>641</v>
      </c>
      <c r="B213" s="29" t="s">
        <v>642</v>
      </c>
      <c r="C213" s="29" t="s">
        <v>643</v>
      </c>
      <c r="D213" s="19" t="s">
        <v>846</v>
      </c>
      <c r="E213" s="19">
        <v>1999</v>
      </c>
      <c r="F213" s="72">
        <v>6</v>
      </c>
      <c r="G213" s="19">
        <v>19</v>
      </c>
      <c r="H213" s="28" t="s">
        <v>1047</v>
      </c>
      <c r="I213" s="28" t="s">
        <v>781</v>
      </c>
      <c r="J213" s="83">
        <v>6.49</v>
      </c>
      <c r="K213" s="83" t="s">
        <v>253</v>
      </c>
      <c r="L213" s="83">
        <f t="shared" si="4"/>
        <v>70.570107858243446</v>
      </c>
      <c r="M213" s="83" t="s">
        <v>253</v>
      </c>
      <c r="N213" s="83">
        <v>4.58</v>
      </c>
      <c r="O213" s="83" t="s">
        <v>253</v>
      </c>
      <c r="P213" s="19" t="s">
        <v>1124</v>
      </c>
      <c r="Q213" s="63"/>
    </row>
    <row r="214" spans="1:17" s="26" customFormat="1" ht="15">
      <c r="A214" s="19" t="s">
        <v>641</v>
      </c>
      <c r="B214" s="29" t="s">
        <v>642</v>
      </c>
      <c r="C214" s="29" t="s">
        <v>643</v>
      </c>
      <c r="D214" s="19" t="s">
        <v>846</v>
      </c>
      <c r="E214" s="19">
        <v>1999</v>
      </c>
      <c r="F214" s="72">
        <v>6</v>
      </c>
      <c r="G214" s="19">
        <v>19</v>
      </c>
      <c r="H214" s="28" t="s">
        <v>1047</v>
      </c>
      <c r="I214" s="28" t="s">
        <v>1067</v>
      </c>
      <c r="J214" s="83">
        <v>5.57</v>
      </c>
      <c r="K214" s="83" t="s">
        <v>253</v>
      </c>
      <c r="L214" s="83">
        <f t="shared" si="4"/>
        <v>29.982046678635545</v>
      </c>
      <c r="M214" s="83" t="s">
        <v>253</v>
      </c>
      <c r="N214" s="83">
        <v>1.67</v>
      </c>
      <c r="O214" s="83" t="s">
        <v>253</v>
      </c>
      <c r="P214" s="19" t="s">
        <v>1124</v>
      </c>
      <c r="Q214" s="63"/>
    </row>
    <row r="215" spans="1:17" s="26" customFormat="1" ht="15">
      <c r="A215" s="19" t="s">
        <v>641</v>
      </c>
      <c r="B215" s="29" t="s">
        <v>642</v>
      </c>
      <c r="C215" s="29" t="s">
        <v>643</v>
      </c>
      <c r="D215" s="19" t="s">
        <v>846</v>
      </c>
      <c r="E215" s="19">
        <v>1999</v>
      </c>
      <c r="F215" s="72">
        <v>6</v>
      </c>
      <c r="G215" s="19">
        <v>19</v>
      </c>
      <c r="H215" s="28" t="s">
        <v>1047</v>
      </c>
      <c r="I215" s="28" t="s">
        <v>1174</v>
      </c>
      <c r="J215" s="83">
        <v>5.0199999999999996</v>
      </c>
      <c r="K215" s="83" t="s">
        <v>253</v>
      </c>
      <c r="L215" s="83">
        <f t="shared" si="4"/>
        <v>35.458167330677291</v>
      </c>
      <c r="M215" s="83" t="s">
        <v>253</v>
      </c>
      <c r="N215" s="83">
        <v>1.78</v>
      </c>
      <c r="O215" s="83" t="s">
        <v>253</v>
      </c>
      <c r="P215" s="19" t="s">
        <v>1124</v>
      </c>
      <c r="Q215" s="63"/>
    </row>
    <row r="216" spans="1:17" s="26" customFormat="1" ht="15">
      <c r="A216" s="19" t="s">
        <v>641</v>
      </c>
      <c r="B216" s="29" t="s">
        <v>642</v>
      </c>
      <c r="C216" s="29" t="s">
        <v>643</v>
      </c>
      <c r="D216" s="19" t="s">
        <v>846</v>
      </c>
      <c r="E216" s="19">
        <v>1999</v>
      </c>
      <c r="F216" s="72">
        <v>6</v>
      </c>
      <c r="G216" s="19">
        <v>19</v>
      </c>
      <c r="H216" s="28" t="s">
        <v>1047</v>
      </c>
      <c r="I216" s="28" t="s">
        <v>1175</v>
      </c>
      <c r="J216" s="83">
        <v>3.85</v>
      </c>
      <c r="K216" s="83" t="s">
        <v>253</v>
      </c>
      <c r="L216" s="83">
        <f t="shared" si="4"/>
        <v>97.662337662337649</v>
      </c>
      <c r="M216" s="83" t="s">
        <v>253</v>
      </c>
      <c r="N216" s="83">
        <v>3.76</v>
      </c>
      <c r="O216" s="83" t="s">
        <v>253</v>
      </c>
      <c r="P216" s="19" t="s">
        <v>1124</v>
      </c>
      <c r="Q216" s="63"/>
    </row>
    <row r="217" spans="1:17" s="26" customFormat="1" ht="15">
      <c r="A217" s="19" t="s">
        <v>641</v>
      </c>
      <c r="B217" s="29" t="s">
        <v>642</v>
      </c>
      <c r="C217" s="29" t="s">
        <v>643</v>
      </c>
      <c r="D217" s="19" t="s">
        <v>846</v>
      </c>
      <c r="E217" s="19">
        <v>1999</v>
      </c>
      <c r="F217" s="72">
        <v>6</v>
      </c>
      <c r="G217" s="19">
        <v>19</v>
      </c>
      <c r="H217" s="28" t="s">
        <v>1047</v>
      </c>
      <c r="I217" s="28" t="s">
        <v>1180</v>
      </c>
      <c r="J217" s="83">
        <v>1.33</v>
      </c>
      <c r="K217" s="83" t="s">
        <v>253</v>
      </c>
      <c r="L217" s="83">
        <f t="shared" si="4"/>
        <v>82.706766917293237</v>
      </c>
      <c r="M217" s="83" t="s">
        <v>253</v>
      </c>
      <c r="N217" s="83">
        <v>1.1000000000000001</v>
      </c>
      <c r="O217" s="83" t="s">
        <v>253</v>
      </c>
      <c r="P217" s="19" t="s">
        <v>1124</v>
      </c>
      <c r="Q217" s="63"/>
    </row>
    <row r="218" spans="1:17" s="26" customFormat="1" ht="15">
      <c r="A218" s="19" t="s">
        <v>641</v>
      </c>
      <c r="B218" s="29" t="s">
        <v>642</v>
      </c>
      <c r="C218" s="29" t="s">
        <v>643</v>
      </c>
      <c r="D218" s="19" t="s">
        <v>846</v>
      </c>
      <c r="E218" s="19">
        <v>1999</v>
      </c>
      <c r="F218" s="72">
        <v>6</v>
      </c>
      <c r="G218" s="19">
        <v>19</v>
      </c>
      <c r="H218" s="28" t="s">
        <v>1047</v>
      </c>
      <c r="I218" s="28" t="s">
        <v>1181</v>
      </c>
      <c r="J218" s="83">
        <v>4.43</v>
      </c>
      <c r="K218" s="83" t="s">
        <v>253</v>
      </c>
      <c r="L218" s="83">
        <f t="shared" si="4"/>
        <v>91.647855530474047</v>
      </c>
      <c r="M218" s="83" t="s">
        <v>253</v>
      </c>
      <c r="N218" s="83">
        <v>4.0599999999999996</v>
      </c>
      <c r="O218" s="83" t="s">
        <v>253</v>
      </c>
      <c r="P218" s="19" t="s">
        <v>1124</v>
      </c>
      <c r="Q218" s="63"/>
    </row>
    <row r="219" spans="1:17" s="26" customFormat="1" ht="15">
      <c r="A219" s="19" t="s">
        <v>641</v>
      </c>
      <c r="B219" s="29" t="s">
        <v>642</v>
      </c>
      <c r="C219" s="29" t="s">
        <v>643</v>
      </c>
      <c r="D219" s="19" t="s">
        <v>846</v>
      </c>
      <c r="E219" s="19">
        <v>1999</v>
      </c>
      <c r="F219" s="72">
        <v>6</v>
      </c>
      <c r="G219" s="19">
        <v>19</v>
      </c>
      <c r="H219" s="28" t="s">
        <v>1047</v>
      </c>
      <c r="I219" s="28" t="s">
        <v>1182</v>
      </c>
      <c r="J219" s="83">
        <v>2.09</v>
      </c>
      <c r="K219" s="83" t="s">
        <v>253</v>
      </c>
      <c r="L219" s="83">
        <f t="shared" si="4"/>
        <v>66.028708133971293</v>
      </c>
      <c r="M219" s="83" t="s">
        <v>253</v>
      </c>
      <c r="N219" s="83">
        <v>1.38</v>
      </c>
      <c r="O219" s="83" t="s">
        <v>253</v>
      </c>
      <c r="P219" s="19" t="s">
        <v>1124</v>
      </c>
      <c r="Q219" s="63"/>
    </row>
    <row r="220" spans="1:17" s="26" customFormat="1" ht="15">
      <c r="A220" s="19" t="s">
        <v>641</v>
      </c>
      <c r="B220" s="29" t="s">
        <v>642</v>
      </c>
      <c r="C220" s="29" t="s">
        <v>643</v>
      </c>
      <c r="D220" s="19" t="s">
        <v>846</v>
      </c>
      <c r="E220" s="19">
        <v>1999</v>
      </c>
      <c r="F220" s="72">
        <v>6</v>
      </c>
      <c r="G220" s="19">
        <v>19</v>
      </c>
      <c r="H220" s="28" t="s">
        <v>1047</v>
      </c>
      <c r="I220" s="28" t="s">
        <v>1054</v>
      </c>
      <c r="J220" s="83">
        <v>0.72</v>
      </c>
      <c r="K220" s="83" t="s">
        <v>253</v>
      </c>
      <c r="L220" s="83">
        <f t="shared" si="4"/>
        <v>31.944444444444446</v>
      </c>
      <c r="M220" s="83" t="s">
        <v>253</v>
      </c>
      <c r="N220" s="83">
        <v>0.23</v>
      </c>
      <c r="O220" s="83" t="s">
        <v>253</v>
      </c>
      <c r="P220" s="19" t="s">
        <v>1124</v>
      </c>
      <c r="Q220" s="63"/>
    </row>
    <row r="221" spans="1:17" s="26" customFormat="1" ht="16" thickBot="1">
      <c r="A221" s="19" t="s">
        <v>641</v>
      </c>
      <c r="B221" s="29" t="s">
        <v>642</v>
      </c>
      <c r="C221" s="29" t="s">
        <v>643</v>
      </c>
      <c r="D221" s="19" t="s">
        <v>846</v>
      </c>
      <c r="E221" s="19">
        <v>1999</v>
      </c>
      <c r="F221" s="72">
        <v>6</v>
      </c>
      <c r="G221" s="19">
        <v>19</v>
      </c>
      <c r="H221" s="28" t="s">
        <v>1047</v>
      </c>
      <c r="I221" s="69" t="s">
        <v>485</v>
      </c>
      <c r="J221" s="84">
        <v>85</v>
      </c>
      <c r="K221" s="84" t="s">
        <v>253</v>
      </c>
      <c r="L221" s="84">
        <f t="shared" si="4"/>
        <v>43.529411764705884</v>
      </c>
      <c r="M221" s="84" t="s">
        <v>253</v>
      </c>
      <c r="N221" s="84">
        <v>37</v>
      </c>
      <c r="O221" s="84" t="s">
        <v>253</v>
      </c>
      <c r="P221" s="19" t="s">
        <v>1124</v>
      </c>
      <c r="Q221" s="63"/>
    </row>
    <row r="222" spans="1:17" ht="15">
      <c r="I222" s="47" t="s">
        <v>645</v>
      </c>
      <c r="J222" s="51">
        <f>ROUND(AVERAGE(J102,J114,J126,J138,J150,J162,J174,J186,J198,J210),1)</f>
        <v>47.2</v>
      </c>
      <c r="K222" s="51">
        <f>ROUND(STDEV(J102,J114,J126,J138,J150,J162,J174,J186,J198,J210),1)</f>
        <v>9</v>
      </c>
      <c r="L222" s="51">
        <f>ROUND(AVERAGE(L102,L114,L126,L138,L150,L162,L174,L186,L198,L210),1)</f>
        <v>38.299999999999997</v>
      </c>
      <c r="M222" s="51">
        <f>ROUND(STDEV(L102,L114,L126,L138,L150,L162,L174,L186,L198,L210),1)</f>
        <v>9.9</v>
      </c>
      <c r="N222" s="51">
        <f>ROUND(AVERAGE(N102,N114,N126,N138,N150,N162,N174,N186,N198,N210),1)</f>
        <v>17.399999999999999</v>
      </c>
      <c r="O222" s="52">
        <f>ROUND(STDEV(N102,N114,N126,N138,N150,N162,N174,N186,N198,N210),1)</f>
        <v>2.5</v>
      </c>
    </row>
    <row r="223" spans="1:17" ht="15">
      <c r="I223" s="48" t="s">
        <v>647</v>
      </c>
      <c r="J223" s="53">
        <f t="shared" ref="J223:J233" si="5">ROUND(AVERAGE(J103,J115,J127,J139,J151,J163,J175,J187,J199,J211),1)</f>
        <v>0.7</v>
      </c>
      <c r="K223" s="53">
        <f t="shared" ref="K223:K233" si="6">ROUND(STDEV(J103,J115,J127,J139,J151,J163,J175,J187,J199,J211),1)</f>
        <v>0.1</v>
      </c>
      <c r="L223" s="53">
        <f t="shared" ref="L223:L233" si="7">ROUND(AVERAGE(L103,L115,L127,L139,L151,L163,L175,L187,L199,L211),1)</f>
        <v>99.3</v>
      </c>
      <c r="M223" s="53">
        <f t="shared" ref="M223:M233" si="8">ROUND(STDEV(L103,L115,L127,L139,L151,L163,L175,L187,L199,L211),1)</f>
        <v>2.2999999999999998</v>
      </c>
      <c r="N223" s="53">
        <f t="shared" ref="N223:N233" si="9">ROUND(AVERAGE(N103,N115,N127,N139,N151,N163,N175,N187,N199,N211),1)</f>
        <v>0.7</v>
      </c>
      <c r="O223" s="54">
        <f t="shared" ref="O223:O233" si="10">ROUND(STDEV(N103,N115,N127,N139,N151,N163,N175,N187,N199,N211),1)</f>
        <v>0.1</v>
      </c>
    </row>
    <row r="224" spans="1:17" ht="15">
      <c r="I224" s="48" t="s">
        <v>780</v>
      </c>
      <c r="J224" s="53">
        <f t="shared" si="5"/>
        <v>1.7</v>
      </c>
      <c r="K224" s="53">
        <f t="shared" si="6"/>
        <v>0.6</v>
      </c>
      <c r="L224" s="53">
        <f t="shared" si="7"/>
        <v>73</v>
      </c>
      <c r="M224" s="53">
        <f t="shared" si="8"/>
        <v>11.4</v>
      </c>
      <c r="N224" s="53">
        <f t="shared" si="9"/>
        <v>1.3</v>
      </c>
      <c r="O224" s="54">
        <f t="shared" si="10"/>
        <v>0.5</v>
      </c>
    </row>
    <row r="225" spans="1:16" ht="15">
      <c r="I225" s="48" t="s">
        <v>781</v>
      </c>
      <c r="J225" s="53">
        <f t="shared" si="5"/>
        <v>5.2</v>
      </c>
      <c r="K225" s="53">
        <f t="shared" si="6"/>
        <v>1.7</v>
      </c>
      <c r="L225" s="53">
        <f t="shared" si="7"/>
        <v>60.9</v>
      </c>
      <c r="M225" s="53">
        <f t="shared" si="8"/>
        <v>17.2</v>
      </c>
      <c r="N225" s="53">
        <f t="shared" si="9"/>
        <v>3.1</v>
      </c>
      <c r="O225" s="54">
        <f t="shared" si="10"/>
        <v>1</v>
      </c>
    </row>
    <row r="226" spans="1:16" ht="15">
      <c r="I226" s="48" t="s">
        <v>1067</v>
      </c>
      <c r="J226" s="53">
        <f t="shared" si="5"/>
        <v>4</v>
      </c>
      <c r="K226" s="53">
        <f t="shared" si="6"/>
        <v>2.8</v>
      </c>
      <c r="L226" s="53">
        <f t="shared" si="7"/>
        <v>38.700000000000003</v>
      </c>
      <c r="M226" s="53">
        <f t="shared" si="8"/>
        <v>8.3000000000000007</v>
      </c>
      <c r="N226" s="53">
        <f t="shared" si="9"/>
        <v>1.5</v>
      </c>
      <c r="O226" s="54">
        <f t="shared" si="10"/>
        <v>1.1000000000000001</v>
      </c>
    </row>
    <row r="227" spans="1:16" ht="15">
      <c r="I227" s="48" t="s">
        <v>1174</v>
      </c>
      <c r="J227" s="53">
        <f t="shared" si="5"/>
        <v>3.4</v>
      </c>
      <c r="K227" s="53">
        <f t="shared" si="6"/>
        <v>1.5</v>
      </c>
      <c r="L227" s="53">
        <f t="shared" si="7"/>
        <v>45.6</v>
      </c>
      <c r="M227" s="53">
        <f t="shared" si="8"/>
        <v>13.4</v>
      </c>
      <c r="N227" s="53">
        <f t="shared" si="9"/>
        <v>1.5</v>
      </c>
      <c r="O227" s="54">
        <f t="shared" si="10"/>
        <v>0.8</v>
      </c>
    </row>
    <row r="228" spans="1:16" ht="15">
      <c r="I228" s="48" t="s">
        <v>1175</v>
      </c>
      <c r="J228" s="53">
        <f t="shared" si="5"/>
        <v>2.5</v>
      </c>
      <c r="K228" s="53">
        <f t="shared" si="6"/>
        <v>2.8</v>
      </c>
      <c r="L228" s="53">
        <f t="shared" si="7"/>
        <v>87</v>
      </c>
      <c r="M228" s="53">
        <f t="shared" si="8"/>
        <v>11.3</v>
      </c>
      <c r="N228" s="53">
        <f t="shared" si="9"/>
        <v>2.2000000000000002</v>
      </c>
      <c r="O228" s="54">
        <f t="shared" si="10"/>
        <v>2.7</v>
      </c>
    </row>
    <row r="229" spans="1:16" ht="15">
      <c r="I229" s="48" t="s">
        <v>1180</v>
      </c>
      <c r="J229" s="53">
        <f t="shared" si="5"/>
        <v>0.6</v>
      </c>
      <c r="K229" s="53">
        <f t="shared" si="6"/>
        <v>0.4</v>
      </c>
      <c r="L229" s="53">
        <f t="shared" si="7"/>
        <v>80.400000000000006</v>
      </c>
      <c r="M229" s="53">
        <f t="shared" si="8"/>
        <v>15.2</v>
      </c>
      <c r="N229" s="53">
        <f t="shared" si="9"/>
        <v>0.5</v>
      </c>
      <c r="O229" s="54">
        <f t="shared" si="10"/>
        <v>0.3</v>
      </c>
    </row>
    <row r="230" spans="1:16" ht="15">
      <c r="I230" s="48" t="s">
        <v>1181</v>
      </c>
      <c r="J230" s="53">
        <f t="shared" si="5"/>
        <v>5.9</v>
      </c>
      <c r="K230" s="53">
        <f t="shared" si="6"/>
        <v>1.1000000000000001</v>
      </c>
      <c r="L230" s="53">
        <f t="shared" si="7"/>
        <v>86</v>
      </c>
      <c r="M230" s="53">
        <f t="shared" si="8"/>
        <v>7.3</v>
      </c>
      <c r="N230" s="53">
        <f t="shared" si="9"/>
        <v>5.0999999999999996</v>
      </c>
      <c r="O230" s="54">
        <f t="shared" si="10"/>
        <v>1.2</v>
      </c>
    </row>
    <row r="231" spans="1:16" ht="15">
      <c r="I231" s="48" t="s">
        <v>1182</v>
      </c>
      <c r="J231" s="53">
        <f t="shared" si="5"/>
        <v>3.1</v>
      </c>
      <c r="K231" s="53">
        <f t="shared" si="6"/>
        <v>0.7</v>
      </c>
      <c r="L231" s="53">
        <f t="shared" si="7"/>
        <v>69.3</v>
      </c>
      <c r="M231" s="53">
        <f t="shared" si="8"/>
        <v>14</v>
      </c>
      <c r="N231" s="53">
        <f t="shared" si="9"/>
        <v>2.2000000000000002</v>
      </c>
      <c r="O231" s="54">
        <f t="shared" si="10"/>
        <v>0.7</v>
      </c>
    </row>
    <row r="232" spans="1:16" ht="15">
      <c r="I232" s="48" t="s">
        <v>1054</v>
      </c>
      <c r="J232" s="53">
        <f t="shared" si="5"/>
        <v>1.7</v>
      </c>
      <c r="K232" s="53">
        <f t="shared" si="6"/>
        <v>1.1000000000000001</v>
      </c>
      <c r="L232" s="53">
        <f t="shared" si="7"/>
        <v>42.1</v>
      </c>
      <c r="M232" s="53">
        <f t="shared" si="8"/>
        <v>24.9</v>
      </c>
      <c r="N232" s="53">
        <f t="shared" si="9"/>
        <v>0.8</v>
      </c>
      <c r="O232" s="54">
        <f t="shared" si="10"/>
        <v>0.8</v>
      </c>
    </row>
    <row r="233" spans="1:16" ht="16" thickBot="1">
      <c r="I233" s="49" t="s">
        <v>1125</v>
      </c>
      <c r="J233" s="55">
        <f t="shared" si="5"/>
        <v>83.4</v>
      </c>
      <c r="K233" s="55">
        <f t="shared" si="6"/>
        <v>10.3</v>
      </c>
      <c r="L233" s="55">
        <f t="shared" si="7"/>
        <v>43.8</v>
      </c>
      <c r="M233" s="55">
        <f t="shared" si="8"/>
        <v>7.5</v>
      </c>
      <c r="N233" s="55">
        <f t="shared" si="9"/>
        <v>36.200000000000003</v>
      </c>
      <c r="O233" s="56">
        <f t="shared" si="10"/>
        <v>5.8</v>
      </c>
    </row>
    <row r="234" spans="1:16" ht="15">
      <c r="I234" s="59"/>
      <c r="J234" s="144"/>
      <c r="K234" s="144"/>
      <c r="L234" s="144"/>
      <c r="M234" s="144"/>
      <c r="N234" s="144"/>
      <c r="O234" s="144"/>
    </row>
    <row r="235" spans="1:16" ht="15">
      <c r="A235" s="296"/>
      <c r="B235" s="296"/>
      <c r="C235" s="296"/>
      <c r="D235" s="296"/>
      <c r="E235" s="296"/>
      <c r="F235" s="296"/>
      <c r="G235" s="296"/>
      <c r="H235" s="296"/>
      <c r="I235" s="294"/>
      <c r="J235" s="295"/>
      <c r="K235" s="295"/>
      <c r="L235" s="295"/>
      <c r="M235" s="295"/>
      <c r="N235" s="295"/>
      <c r="O235" s="295"/>
      <c r="P235" s="296"/>
    </row>
    <row r="236" spans="1:16" ht="16" thickBot="1">
      <c r="I236" s="59"/>
      <c r="J236" s="144"/>
      <c r="K236" s="144"/>
      <c r="L236" s="144"/>
      <c r="M236" s="144"/>
      <c r="N236" s="144"/>
      <c r="O236" s="144"/>
    </row>
    <row r="237" spans="1:16" ht="16" thickBot="1">
      <c r="A237" s="21" t="s">
        <v>399</v>
      </c>
      <c r="B237" s="21" t="s">
        <v>471</v>
      </c>
      <c r="C237" s="21" t="s">
        <v>472</v>
      </c>
      <c r="D237" s="21" t="s">
        <v>153</v>
      </c>
      <c r="E237" s="19">
        <v>1999</v>
      </c>
      <c r="F237" s="19">
        <v>7</v>
      </c>
      <c r="G237" s="34" t="s">
        <v>469</v>
      </c>
      <c r="H237" s="27" t="s">
        <v>470</v>
      </c>
      <c r="I237" s="62" t="s">
        <v>223</v>
      </c>
      <c r="J237" s="94" t="s">
        <v>532</v>
      </c>
      <c r="K237" s="94" t="s">
        <v>532</v>
      </c>
      <c r="L237" s="94" t="s">
        <v>265</v>
      </c>
      <c r="M237" s="94" t="s">
        <v>265</v>
      </c>
      <c r="N237" s="94">
        <v>18.5</v>
      </c>
      <c r="O237" s="95">
        <v>1.72</v>
      </c>
    </row>
    <row r="238" spans="1:16">
      <c r="J238"/>
      <c r="K238"/>
      <c r="L238"/>
      <c r="M238"/>
      <c r="N238"/>
      <c r="O238"/>
    </row>
    <row r="239" spans="1:16">
      <c r="A239" s="296"/>
      <c r="B239" s="296"/>
      <c r="C239" s="296"/>
      <c r="D239" s="296"/>
      <c r="E239" s="296"/>
      <c r="F239" s="296"/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</row>
    <row r="240" spans="1:16">
      <c r="J240"/>
      <c r="K240"/>
      <c r="L240"/>
      <c r="M240"/>
      <c r="N240"/>
      <c r="O240"/>
    </row>
    <row r="241" spans="1:17" s="26" customFormat="1" ht="15">
      <c r="A241" s="19" t="s">
        <v>864</v>
      </c>
      <c r="B241" s="29" t="s">
        <v>865</v>
      </c>
      <c r="C241" s="29" t="s">
        <v>1139</v>
      </c>
      <c r="D241" s="19" t="s">
        <v>1140</v>
      </c>
      <c r="E241" s="19">
        <v>1999</v>
      </c>
      <c r="F241" s="19">
        <v>7</v>
      </c>
      <c r="G241" s="19" t="s">
        <v>1046</v>
      </c>
      <c r="H241" s="19" t="s">
        <v>1047</v>
      </c>
      <c r="I241" s="28" t="s">
        <v>178</v>
      </c>
      <c r="J241" s="75">
        <v>58.4</v>
      </c>
      <c r="K241" s="75">
        <v>20.100000000000001</v>
      </c>
      <c r="L241" s="75">
        <v>57</v>
      </c>
      <c r="M241" s="75">
        <v>23.9</v>
      </c>
      <c r="N241" s="75">
        <f>J241*(L241/100)</f>
        <v>33.287999999999997</v>
      </c>
      <c r="O241" s="75" t="s">
        <v>532</v>
      </c>
      <c r="P241" s="19" t="s">
        <v>891</v>
      </c>
      <c r="Q241" s="63"/>
    </row>
    <row r="242" spans="1:17" s="26" customFormat="1" ht="16" thickBot="1">
      <c r="A242" s="19" t="s">
        <v>864</v>
      </c>
      <c r="B242" s="29" t="s">
        <v>865</v>
      </c>
      <c r="C242" s="29" t="s">
        <v>1139</v>
      </c>
      <c r="D242" s="19" t="s">
        <v>1140</v>
      </c>
      <c r="E242" s="19">
        <v>1999</v>
      </c>
      <c r="F242" s="19">
        <v>7</v>
      </c>
      <c r="G242" s="19" t="s">
        <v>1046</v>
      </c>
      <c r="H242" s="19" t="s">
        <v>1047</v>
      </c>
      <c r="I242" s="69" t="s">
        <v>67</v>
      </c>
      <c r="J242" s="93">
        <v>92.5</v>
      </c>
      <c r="K242" s="93">
        <v>31.3</v>
      </c>
      <c r="L242" s="93">
        <v>39</v>
      </c>
      <c r="M242" s="93">
        <v>23.1</v>
      </c>
      <c r="N242" s="75">
        <f>J242*(L242/100)</f>
        <v>36.075000000000003</v>
      </c>
      <c r="O242" s="93" t="s">
        <v>532</v>
      </c>
      <c r="P242" s="19" t="s">
        <v>892</v>
      </c>
      <c r="Q242" s="63"/>
    </row>
    <row r="243" spans="1:17" s="26" customFormat="1" ht="16" thickBot="1">
      <c r="A243" s="3"/>
      <c r="B243" s="5"/>
      <c r="C243" s="5"/>
      <c r="D243" s="3"/>
      <c r="E243" s="3"/>
      <c r="F243" s="3"/>
      <c r="G243" s="3"/>
      <c r="H243" s="3"/>
      <c r="I243" s="62" t="s">
        <v>212</v>
      </c>
      <c r="J243" s="94">
        <f>AVERAGE(J241:J242)</f>
        <v>75.45</v>
      </c>
      <c r="K243" s="94" t="s">
        <v>986</v>
      </c>
      <c r="L243" s="94">
        <f>AVERAGE(L241:L242)</f>
        <v>48</v>
      </c>
      <c r="M243" s="94" t="s">
        <v>986</v>
      </c>
      <c r="N243" s="94">
        <f>ROUND(AVERAGE(N241:N242),1)</f>
        <v>34.700000000000003</v>
      </c>
      <c r="O243" s="95" t="s">
        <v>986</v>
      </c>
      <c r="P243" s="3"/>
      <c r="Q243" s="63"/>
    </row>
    <row r="244" spans="1:17" s="1" customFormat="1">
      <c r="A244" s="3"/>
      <c r="B244" s="5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64"/>
    </row>
    <row r="245" spans="1:17" s="1" customFormat="1">
      <c r="A245" s="293"/>
      <c r="B245" s="297"/>
      <c r="C245" s="297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64"/>
    </row>
    <row r="246" spans="1:17" s="1" customFormat="1">
      <c r="A246" s="3"/>
      <c r="B246" s="5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64"/>
    </row>
    <row r="247" spans="1:17" s="26" customFormat="1" ht="15">
      <c r="A247" s="19" t="s">
        <v>650</v>
      </c>
      <c r="B247" s="29" t="s">
        <v>651</v>
      </c>
      <c r="C247" s="29" t="s">
        <v>652</v>
      </c>
      <c r="D247" s="19" t="s">
        <v>653</v>
      </c>
      <c r="E247" s="19">
        <v>2003</v>
      </c>
      <c r="F247" s="19" t="s">
        <v>1046</v>
      </c>
      <c r="G247" s="19" t="s">
        <v>1046</v>
      </c>
      <c r="H247" s="28" t="s">
        <v>1047</v>
      </c>
      <c r="I247" s="28" t="s">
        <v>954</v>
      </c>
      <c r="J247" s="76">
        <v>6.1</v>
      </c>
      <c r="K247" s="76">
        <v>1.4</v>
      </c>
      <c r="L247" s="76">
        <f>(N247/J247)*100</f>
        <v>100</v>
      </c>
      <c r="M247" s="76"/>
      <c r="N247" s="76">
        <v>6.1</v>
      </c>
      <c r="O247" s="76">
        <v>1.4</v>
      </c>
      <c r="P247" s="91" t="s">
        <v>545</v>
      </c>
      <c r="Q247" s="63"/>
    </row>
    <row r="248" spans="1:17" s="26" customFormat="1" ht="15">
      <c r="A248" s="19" t="s">
        <v>650</v>
      </c>
      <c r="B248" s="29" t="s">
        <v>651</v>
      </c>
      <c r="C248" s="29" t="s">
        <v>652</v>
      </c>
      <c r="D248" s="19" t="s">
        <v>653</v>
      </c>
      <c r="E248" s="19">
        <v>2003</v>
      </c>
      <c r="F248" s="19" t="s">
        <v>1046</v>
      </c>
      <c r="G248" s="19" t="s">
        <v>1046</v>
      </c>
      <c r="H248" s="28" t="s">
        <v>1047</v>
      </c>
      <c r="I248" s="28" t="s">
        <v>955</v>
      </c>
      <c r="J248" s="76">
        <v>9.8000000000000007</v>
      </c>
      <c r="K248" s="76">
        <v>1.8</v>
      </c>
      <c r="L248" s="76">
        <f t="shared" ref="L248:L266" si="11">(N248/J248)*100</f>
        <v>68.367346938775512</v>
      </c>
      <c r="M248" s="76"/>
      <c r="N248" s="76">
        <v>6.7</v>
      </c>
      <c r="O248" s="76">
        <v>1.1000000000000001</v>
      </c>
      <c r="P248" s="91" t="s">
        <v>545</v>
      </c>
      <c r="Q248" s="63"/>
    </row>
    <row r="249" spans="1:17" s="26" customFormat="1" ht="15">
      <c r="A249" s="19" t="s">
        <v>650</v>
      </c>
      <c r="B249" s="29" t="s">
        <v>651</v>
      </c>
      <c r="C249" s="29" t="s">
        <v>652</v>
      </c>
      <c r="D249" s="19" t="s">
        <v>653</v>
      </c>
      <c r="E249" s="19">
        <v>2003</v>
      </c>
      <c r="F249" s="19" t="s">
        <v>1046</v>
      </c>
      <c r="G249" s="19" t="s">
        <v>1046</v>
      </c>
      <c r="H249" s="28" t="s">
        <v>1047</v>
      </c>
      <c r="I249" s="28" t="s">
        <v>841</v>
      </c>
      <c r="J249" s="76">
        <v>33.6</v>
      </c>
      <c r="K249" s="76">
        <v>10.3</v>
      </c>
      <c r="L249" s="76">
        <f t="shared" si="11"/>
        <v>54.761904761904759</v>
      </c>
      <c r="M249" s="76"/>
      <c r="N249" s="76">
        <v>18.399999999999999</v>
      </c>
      <c r="O249" s="76">
        <v>7.2</v>
      </c>
      <c r="P249" s="91" t="s">
        <v>545</v>
      </c>
      <c r="Q249" s="63"/>
    </row>
    <row r="250" spans="1:17" s="26" customFormat="1" ht="15">
      <c r="A250" s="19" t="s">
        <v>650</v>
      </c>
      <c r="B250" s="29" t="s">
        <v>651</v>
      </c>
      <c r="C250" s="29" t="s">
        <v>652</v>
      </c>
      <c r="D250" s="19" t="s">
        <v>653</v>
      </c>
      <c r="E250" s="19">
        <v>2003</v>
      </c>
      <c r="F250" s="19" t="s">
        <v>1046</v>
      </c>
      <c r="G250" s="19" t="s">
        <v>1046</v>
      </c>
      <c r="H250" s="28" t="s">
        <v>1047</v>
      </c>
      <c r="I250" s="28" t="s">
        <v>842</v>
      </c>
      <c r="J250" s="76">
        <f>SUM(J247:J249)</f>
        <v>49.5</v>
      </c>
      <c r="K250" s="76" t="s">
        <v>843</v>
      </c>
      <c r="L250" s="76">
        <f t="shared" si="11"/>
        <v>63.030303030303024</v>
      </c>
      <c r="M250" s="76">
        <v>20</v>
      </c>
      <c r="N250" s="76">
        <f>SUM(N247:N249)</f>
        <v>31.2</v>
      </c>
      <c r="O250" s="76">
        <v>7</v>
      </c>
      <c r="P250" s="91" t="s">
        <v>545</v>
      </c>
      <c r="Q250" s="63"/>
    </row>
    <row r="251" spans="1:17" s="26" customFormat="1" ht="15">
      <c r="A251" s="19" t="s">
        <v>547</v>
      </c>
      <c r="B251" s="29" t="s">
        <v>651</v>
      </c>
      <c r="C251" s="29" t="s">
        <v>652</v>
      </c>
      <c r="D251" s="19" t="s">
        <v>548</v>
      </c>
      <c r="E251" s="19">
        <v>2003</v>
      </c>
      <c r="F251" s="19" t="s">
        <v>1046</v>
      </c>
      <c r="G251" s="19" t="s">
        <v>1046</v>
      </c>
      <c r="H251" s="28" t="s">
        <v>1047</v>
      </c>
      <c r="I251" s="28" t="s">
        <v>956</v>
      </c>
      <c r="J251" s="76">
        <v>4.3</v>
      </c>
      <c r="K251" s="76">
        <v>0.5</v>
      </c>
      <c r="L251" s="76">
        <f t="shared" si="11"/>
        <v>100</v>
      </c>
      <c r="M251" s="76"/>
      <c r="N251" s="76">
        <v>4.3</v>
      </c>
      <c r="O251" s="76">
        <v>0.5</v>
      </c>
      <c r="P251" s="91" t="s">
        <v>782</v>
      </c>
      <c r="Q251" s="63"/>
    </row>
    <row r="252" spans="1:17" s="26" customFormat="1" ht="15">
      <c r="A252" s="19" t="s">
        <v>650</v>
      </c>
      <c r="B252" s="29" t="s">
        <v>651</v>
      </c>
      <c r="C252" s="29" t="s">
        <v>652</v>
      </c>
      <c r="D252" s="19" t="s">
        <v>653</v>
      </c>
      <c r="E252" s="19">
        <v>2003</v>
      </c>
      <c r="F252" s="19" t="s">
        <v>1046</v>
      </c>
      <c r="G252" s="19" t="s">
        <v>1046</v>
      </c>
      <c r="H252" s="28" t="s">
        <v>1047</v>
      </c>
      <c r="I252" s="28" t="s">
        <v>957</v>
      </c>
      <c r="J252" s="76">
        <v>7.7</v>
      </c>
      <c r="K252" s="76">
        <v>0.6</v>
      </c>
      <c r="L252" s="76">
        <f t="shared" si="11"/>
        <v>85.714285714285708</v>
      </c>
      <c r="M252" s="76"/>
      <c r="N252" s="76">
        <v>6.6</v>
      </c>
      <c r="O252" s="76">
        <v>1.1000000000000001</v>
      </c>
      <c r="P252" s="91" t="s">
        <v>782</v>
      </c>
      <c r="Q252" s="63"/>
    </row>
    <row r="253" spans="1:17" s="26" customFormat="1" ht="15">
      <c r="A253" s="19" t="s">
        <v>650</v>
      </c>
      <c r="B253" s="29" t="s">
        <v>651</v>
      </c>
      <c r="C253" s="29" t="s">
        <v>652</v>
      </c>
      <c r="D253" s="19" t="s">
        <v>653</v>
      </c>
      <c r="E253" s="19">
        <v>2003</v>
      </c>
      <c r="F253" s="19" t="s">
        <v>1046</v>
      </c>
      <c r="G253" s="19" t="s">
        <v>1046</v>
      </c>
      <c r="H253" s="28" t="s">
        <v>1047</v>
      </c>
      <c r="I253" s="28" t="s">
        <v>958</v>
      </c>
      <c r="J253" s="76">
        <v>28.7</v>
      </c>
      <c r="K253" s="76">
        <v>9.3000000000000007</v>
      </c>
      <c r="L253" s="76">
        <f t="shared" si="11"/>
        <v>38.675958188153309</v>
      </c>
      <c r="M253" s="76"/>
      <c r="N253" s="76">
        <v>11.1</v>
      </c>
      <c r="O253" s="76">
        <v>4.0999999999999996</v>
      </c>
      <c r="P253" s="91" t="s">
        <v>782</v>
      </c>
      <c r="Q253" s="63"/>
    </row>
    <row r="254" spans="1:17" s="26" customFormat="1" ht="15">
      <c r="A254" s="19" t="s">
        <v>650</v>
      </c>
      <c r="B254" s="29" t="s">
        <v>651</v>
      </c>
      <c r="C254" s="29" t="s">
        <v>652</v>
      </c>
      <c r="D254" s="19" t="s">
        <v>653</v>
      </c>
      <c r="E254" s="19">
        <v>2003</v>
      </c>
      <c r="F254" s="19" t="s">
        <v>1046</v>
      </c>
      <c r="G254" s="19" t="s">
        <v>1046</v>
      </c>
      <c r="H254" s="28" t="s">
        <v>1047</v>
      </c>
      <c r="I254" s="28" t="s">
        <v>952</v>
      </c>
      <c r="J254" s="76">
        <f>SUM(J251:J253)</f>
        <v>40.700000000000003</v>
      </c>
      <c r="K254" s="76" t="s">
        <v>816</v>
      </c>
      <c r="L254" s="76">
        <f t="shared" si="11"/>
        <v>54.054054054054049</v>
      </c>
      <c r="M254" s="76">
        <v>19</v>
      </c>
      <c r="N254" s="76">
        <f>SUM(N251:N253)</f>
        <v>22</v>
      </c>
      <c r="O254" s="76" t="s">
        <v>816</v>
      </c>
      <c r="P254" s="91" t="s">
        <v>782</v>
      </c>
      <c r="Q254" s="63"/>
    </row>
    <row r="255" spans="1:17" s="26" customFormat="1" ht="15">
      <c r="A255" s="19" t="s">
        <v>650</v>
      </c>
      <c r="B255" s="29" t="s">
        <v>651</v>
      </c>
      <c r="C255" s="29" t="s">
        <v>652</v>
      </c>
      <c r="D255" s="19" t="s">
        <v>653</v>
      </c>
      <c r="E255" s="19">
        <v>2003</v>
      </c>
      <c r="F255" s="19" t="s">
        <v>1046</v>
      </c>
      <c r="G255" s="19" t="s">
        <v>1046</v>
      </c>
      <c r="H255" s="28" t="s">
        <v>1047</v>
      </c>
      <c r="I255" s="28" t="s">
        <v>933</v>
      </c>
      <c r="J255" s="76">
        <v>2.8</v>
      </c>
      <c r="K255" s="76">
        <v>0.7</v>
      </c>
      <c r="L255" s="76">
        <f t="shared" si="11"/>
        <v>100</v>
      </c>
      <c r="M255" s="76"/>
      <c r="N255" s="76">
        <v>2.8</v>
      </c>
      <c r="O255" s="76">
        <v>0.7</v>
      </c>
      <c r="P255" s="91" t="s">
        <v>596</v>
      </c>
      <c r="Q255" s="63"/>
    </row>
    <row r="256" spans="1:17" s="26" customFormat="1" ht="15">
      <c r="A256" s="19" t="s">
        <v>650</v>
      </c>
      <c r="B256" s="29" t="s">
        <v>651</v>
      </c>
      <c r="C256" s="29" t="s">
        <v>652</v>
      </c>
      <c r="D256" s="19" t="s">
        <v>653</v>
      </c>
      <c r="E256" s="19">
        <v>2003</v>
      </c>
      <c r="F256" s="19" t="s">
        <v>1046</v>
      </c>
      <c r="G256" s="19" t="s">
        <v>1046</v>
      </c>
      <c r="H256" s="28" t="s">
        <v>1047</v>
      </c>
      <c r="I256" s="28" t="s">
        <v>934</v>
      </c>
      <c r="J256" s="76">
        <v>6.1</v>
      </c>
      <c r="K256" s="76">
        <v>0.9</v>
      </c>
      <c r="L256" s="76">
        <f t="shared" si="11"/>
        <v>96.721311475409848</v>
      </c>
      <c r="M256" s="76"/>
      <c r="N256" s="76">
        <v>5.9</v>
      </c>
      <c r="O256" s="76">
        <v>0.9</v>
      </c>
      <c r="P256" s="91" t="s">
        <v>596</v>
      </c>
      <c r="Q256" s="63"/>
    </row>
    <row r="257" spans="1:17" s="26" customFormat="1" ht="15">
      <c r="A257" s="19" t="s">
        <v>650</v>
      </c>
      <c r="B257" s="29" t="s">
        <v>651</v>
      </c>
      <c r="C257" s="29" t="s">
        <v>652</v>
      </c>
      <c r="D257" s="19" t="s">
        <v>653</v>
      </c>
      <c r="E257" s="19">
        <v>2003</v>
      </c>
      <c r="F257" s="19" t="s">
        <v>1046</v>
      </c>
      <c r="G257" s="19" t="s">
        <v>1046</v>
      </c>
      <c r="H257" s="28" t="s">
        <v>1047</v>
      </c>
      <c r="I257" s="28" t="s">
        <v>935</v>
      </c>
      <c r="J257" s="76">
        <v>32.6</v>
      </c>
      <c r="K257" s="76">
        <v>7</v>
      </c>
      <c r="L257" s="76">
        <f t="shared" si="11"/>
        <v>42.638036809815951</v>
      </c>
      <c r="M257" s="76"/>
      <c r="N257" s="76">
        <v>13.9</v>
      </c>
      <c r="O257" s="76">
        <v>4.5</v>
      </c>
      <c r="P257" s="91" t="s">
        <v>596</v>
      </c>
      <c r="Q257" s="63"/>
    </row>
    <row r="258" spans="1:17" s="26" customFormat="1" ht="15">
      <c r="A258" s="19" t="s">
        <v>650</v>
      </c>
      <c r="B258" s="29" t="s">
        <v>651</v>
      </c>
      <c r="C258" s="29" t="s">
        <v>652</v>
      </c>
      <c r="D258" s="19" t="s">
        <v>653</v>
      </c>
      <c r="E258" s="19">
        <v>2003</v>
      </c>
      <c r="F258" s="19" t="s">
        <v>1046</v>
      </c>
      <c r="G258" s="19" t="s">
        <v>1046</v>
      </c>
      <c r="H258" s="28" t="s">
        <v>1047</v>
      </c>
      <c r="I258" s="28" t="s">
        <v>952</v>
      </c>
      <c r="J258" s="76">
        <f>SUM(J255:J257)</f>
        <v>41.5</v>
      </c>
      <c r="K258" s="76" t="s">
        <v>953</v>
      </c>
      <c r="L258" s="76">
        <f t="shared" si="11"/>
        <v>54.457831325301207</v>
      </c>
      <c r="M258" s="76">
        <v>15</v>
      </c>
      <c r="N258" s="76">
        <f>SUM(N255:N257)</f>
        <v>22.6</v>
      </c>
      <c r="O258" s="76" t="s">
        <v>953</v>
      </c>
      <c r="P258" s="91" t="s">
        <v>596</v>
      </c>
      <c r="Q258" s="63"/>
    </row>
    <row r="259" spans="1:17" s="26" customFormat="1" ht="15">
      <c r="A259" s="19" t="s">
        <v>650</v>
      </c>
      <c r="B259" s="29" t="s">
        <v>651</v>
      </c>
      <c r="C259" s="29" t="s">
        <v>652</v>
      </c>
      <c r="D259" s="19" t="s">
        <v>653</v>
      </c>
      <c r="E259" s="19">
        <v>2003</v>
      </c>
      <c r="F259" s="19" t="s">
        <v>1046</v>
      </c>
      <c r="G259" s="19" t="s">
        <v>1046</v>
      </c>
      <c r="H259" s="28" t="s">
        <v>1047</v>
      </c>
      <c r="I259" s="28" t="s">
        <v>1090</v>
      </c>
      <c r="J259" s="76">
        <v>5.9</v>
      </c>
      <c r="K259" s="76">
        <v>0.7</v>
      </c>
      <c r="L259" s="76">
        <f t="shared" si="11"/>
        <v>100</v>
      </c>
      <c r="M259" s="76"/>
      <c r="N259" s="76">
        <v>5.9</v>
      </c>
      <c r="O259" s="76">
        <v>0.7</v>
      </c>
      <c r="P259" s="91" t="s">
        <v>597</v>
      </c>
      <c r="Q259" s="63"/>
    </row>
    <row r="260" spans="1:17" s="26" customFormat="1" ht="15">
      <c r="A260" s="19" t="s">
        <v>650</v>
      </c>
      <c r="B260" s="29" t="s">
        <v>651</v>
      </c>
      <c r="C260" s="29" t="s">
        <v>652</v>
      </c>
      <c r="D260" s="19" t="s">
        <v>653</v>
      </c>
      <c r="E260" s="19">
        <v>2003</v>
      </c>
      <c r="F260" s="19" t="s">
        <v>1046</v>
      </c>
      <c r="G260" s="19" t="s">
        <v>1046</v>
      </c>
      <c r="H260" s="28" t="s">
        <v>1047</v>
      </c>
      <c r="I260" s="28" t="s">
        <v>976</v>
      </c>
      <c r="J260" s="76">
        <v>9.1</v>
      </c>
      <c r="K260" s="76">
        <v>0.8</v>
      </c>
      <c r="L260" s="76">
        <f t="shared" si="11"/>
        <v>73.626373626373635</v>
      </c>
      <c r="M260" s="76"/>
      <c r="N260" s="76">
        <v>6.7</v>
      </c>
      <c r="O260" s="76">
        <v>0.9</v>
      </c>
      <c r="P260" s="91" t="s">
        <v>597</v>
      </c>
      <c r="Q260" s="63"/>
    </row>
    <row r="261" spans="1:17" s="26" customFormat="1" ht="15">
      <c r="A261" s="19" t="s">
        <v>650</v>
      </c>
      <c r="B261" s="29" t="s">
        <v>651</v>
      </c>
      <c r="C261" s="29" t="s">
        <v>652</v>
      </c>
      <c r="D261" s="19" t="s">
        <v>653</v>
      </c>
      <c r="E261" s="19">
        <v>2003</v>
      </c>
      <c r="F261" s="19" t="s">
        <v>1046</v>
      </c>
      <c r="G261" s="19" t="s">
        <v>1046</v>
      </c>
      <c r="H261" s="28" t="s">
        <v>1047</v>
      </c>
      <c r="I261" s="28" t="s">
        <v>1104</v>
      </c>
      <c r="J261" s="76">
        <v>27.2</v>
      </c>
      <c r="K261" s="76">
        <v>6.1</v>
      </c>
      <c r="L261" s="76">
        <f t="shared" si="11"/>
        <v>54.779411764705884</v>
      </c>
      <c r="M261" s="76"/>
      <c r="N261" s="76">
        <v>14.9</v>
      </c>
      <c r="O261" s="76">
        <v>3.9</v>
      </c>
      <c r="P261" s="91" t="s">
        <v>597</v>
      </c>
      <c r="Q261" s="63"/>
    </row>
    <row r="262" spans="1:17" s="26" customFormat="1" ht="15">
      <c r="A262" s="19" t="s">
        <v>650</v>
      </c>
      <c r="B262" s="29" t="s">
        <v>651</v>
      </c>
      <c r="C262" s="29" t="s">
        <v>652</v>
      </c>
      <c r="D262" s="19" t="s">
        <v>653</v>
      </c>
      <c r="E262" s="19">
        <v>2003</v>
      </c>
      <c r="F262" s="19" t="s">
        <v>1046</v>
      </c>
      <c r="G262" s="19" t="s">
        <v>1046</v>
      </c>
      <c r="H262" s="28" t="s">
        <v>1047</v>
      </c>
      <c r="I262" s="28" t="s">
        <v>952</v>
      </c>
      <c r="J262" s="76">
        <f>SUM(J259:J261)</f>
        <v>42.2</v>
      </c>
      <c r="K262" s="76" t="s">
        <v>253</v>
      </c>
      <c r="L262" s="76">
        <f t="shared" si="11"/>
        <v>65.165876777251185</v>
      </c>
      <c r="M262" s="76">
        <v>14</v>
      </c>
      <c r="N262" s="76">
        <f>SUM(N259:N261)</f>
        <v>27.5</v>
      </c>
      <c r="O262" s="76" t="s">
        <v>253</v>
      </c>
      <c r="P262" s="91" t="s">
        <v>597</v>
      </c>
      <c r="Q262" s="63"/>
    </row>
    <row r="263" spans="1:17" s="26" customFormat="1" ht="15">
      <c r="A263" s="19" t="s">
        <v>650</v>
      </c>
      <c r="B263" s="29" t="s">
        <v>651</v>
      </c>
      <c r="C263" s="29" t="s">
        <v>652</v>
      </c>
      <c r="D263" s="19" t="s">
        <v>653</v>
      </c>
      <c r="E263" s="19">
        <v>2003</v>
      </c>
      <c r="F263" s="19" t="s">
        <v>1046</v>
      </c>
      <c r="G263" s="19" t="s">
        <v>1046</v>
      </c>
      <c r="H263" s="28" t="s">
        <v>1047</v>
      </c>
      <c r="I263" s="28" t="s">
        <v>1105</v>
      </c>
      <c r="J263" s="76">
        <v>6</v>
      </c>
      <c r="K263" s="76">
        <v>1.2</v>
      </c>
      <c r="L263" s="76">
        <f t="shared" si="11"/>
        <v>100</v>
      </c>
      <c r="M263" s="76"/>
      <c r="N263" s="76">
        <f>6</f>
        <v>6</v>
      </c>
      <c r="O263" s="76">
        <v>1.2</v>
      </c>
      <c r="P263" s="91" t="s">
        <v>702</v>
      </c>
      <c r="Q263" s="63"/>
    </row>
    <row r="264" spans="1:17" s="26" customFormat="1" ht="15">
      <c r="A264" s="19" t="s">
        <v>650</v>
      </c>
      <c r="B264" s="29" t="s">
        <v>651</v>
      </c>
      <c r="C264" s="29" t="s">
        <v>652</v>
      </c>
      <c r="D264" s="19" t="s">
        <v>653</v>
      </c>
      <c r="E264" s="19">
        <v>2003</v>
      </c>
      <c r="F264" s="19" t="s">
        <v>1046</v>
      </c>
      <c r="G264" s="19" t="s">
        <v>1046</v>
      </c>
      <c r="H264" s="28" t="s">
        <v>1047</v>
      </c>
      <c r="I264" s="28" t="s">
        <v>1106</v>
      </c>
      <c r="J264" s="76">
        <v>9.1999999999999993</v>
      </c>
      <c r="K264" s="76">
        <v>1.4</v>
      </c>
      <c r="L264" s="76">
        <f t="shared" si="11"/>
        <v>75.000000000000014</v>
      </c>
      <c r="M264" s="76"/>
      <c r="N264" s="76">
        <v>6.9</v>
      </c>
      <c r="O264" s="76">
        <v>1.1000000000000001</v>
      </c>
      <c r="P264" s="91" t="s">
        <v>702</v>
      </c>
      <c r="Q264" s="63"/>
    </row>
    <row r="265" spans="1:17" s="26" customFormat="1" ht="15">
      <c r="A265" s="19" t="s">
        <v>650</v>
      </c>
      <c r="B265" s="29" t="s">
        <v>651</v>
      </c>
      <c r="C265" s="29" t="s">
        <v>652</v>
      </c>
      <c r="D265" s="19" t="s">
        <v>653</v>
      </c>
      <c r="E265" s="19">
        <v>2003</v>
      </c>
      <c r="F265" s="19" t="s">
        <v>1046</v>
      </c>
      <c r="G265" s="19" t="s">
        <v>1046</v>
      </c>
      <c r="H265" s="28" t="s">
        <v>1047</v>
      </c>
      <c r="I265" s="28" t="s">
        <v>1107</v>
      </c>
      <c r="J265" s="76">
        <v>25</v>
      </c>
      <c r="K265" s="76">
        <v>5</v>
      </c>
      <c r="L265" s="76">
        <f t="shared" si="11"/>
        <v>63.6</v>
      </c>
      <c r="M265" s="76"/>
      <c r="N265" s="76">
        <v>15.9</v>
      </c>
      <c r="O265" s="76">
        <v>5.3</v>
      </c>
      <c r="P265" s="91" t="s">
        <v>702</v>
      </c>
      <c r="Q265" s="63"/>
    </row>
    <row r="266" spans="1:17" s="26" customFormat="1" ht="16" thickBot="1">
      <c r="A266" s="19" t="s">
        <v>650</v>
      </c>
      <c r="B266" s="29" t="s">
        <v>651</v>
      </c>
      <c r="C266" s="29" t="s">
        <v>652</v>
      </c>
      <c r="D266" s="19" t="s">
        <v>653</v>
      </c>
      <c r="E266" s="19">
        <v>2003</v>
      </c>
      <c r="F266" s="19" t="s">
        <v>1046</v>
      </c>
      <c r="G266" s="19" t="s">
        <v>1046</v>
      </c>
      <c r="H266" s="28" t="s">
        <v>1047</v>
      </c>
      <c r="I266" s="69" t="s">
        <v>952</v>
      </c>
      <c r="J266" s="77">
        <f>SUM(J263:J265)</f>
        <v>40.200000000000003</v>
      </c>
      <c r="K266" s="77" t="s">
        <v>1109</v>
      </c>
      <c r="L266" s="77">
        <f t="shared" si="11"/>
        <v>71.641791044776113</v>
      </c>
      <c r="M266" s="77">
        <v>13</v>
      </c>
      <c r="N266" s="77">
        <f>SUM(N263:N265)</f>
        <v>28.8</v>
      </c>
      <c r="O266" s="77" t="s">
        <v>1109</v>
      </c>
      <c r="P266" s="91" t="s">
        <v>702</v>
      </c>
      <c r="Q266" s="63"/>
    </row>
    <row r="267" spans="1:17" ht="15">
      <c r="I267" s="47" t="s">
        <v>544</v>
      </c>
      <c r="J267" s="51">
        <f>ROUND(AVERAGE(J247,J251,J255,J259,J263),1)</f>
        <v>5</v>
      </c>
      <c r="K267" s="51">
        <f>ROUND(STDEV(J247,J251,J255,J259,J263),1)</f>
        <v>1.4</v>
      </c>
      <c r="L267" s="51">
        <f>ROUND(AVERAGE(L247,L251,L255,L259,L263),1)</f>
        <v>100</v>
      </c>
      <c r="M267" s="51">
        <f>ROUND(STDEV(L247,L251,L255,L259,L263),1)</f>
        <v>0</v>
      </c>
      <c r="N267" s="51">
        <f>ROUND(AVERAGE(N247,N251,N255,N259,N263),1)</f>
        <v>5</v>
      </c>
      <c r="O267" s="52">
        <f>ROUND(STDEV(N247,N251,N255,N259,N263),1)</f>
        <v>1.4</v>
      </c>
    </row>
    <row r="268" spans="1:17" ht="15">
      <c r="I268" s="48" t="s">
        <v>546</v>
      </c>
      <c r="J268" s="53">
        <f t="shared" ref="J268:J270" si="12">ROUND(AVERAGE(J248,J252,J256,J260,J264),1)</f>
        <v>8.4</v>
      </c>
      <c r="K268" s="53">
        <f t="shared" ref="K268:K270" si="13">ROUND(STDEV(J248,J252,J256,J260,J264),1)</f>
        <v>1.5</v>
      </c>
      <c r="L268" s="53">
        <f t="shared" ref="L268:L270" si="14">ROUND(AVERAGE(L248,L252,L256,L260,L264),1)</f>
        <v>79.900000000000006</v>
      </c>
      <c r="M268" s="53">
        <f t="shared" ref="M268:M270" si="15">ROUND(STDEV(L248,L252,L256,L260,L264),1)</f>
        <v>11.3</v>
      </c>
      <c r="N268" s="53">
        <f t="shared" ref="N268:N270" si="16">ROUND(AVERAGE(N248,N252,N256,N260,N264),1)</f>
        <v>6.6</v>
      </c>
      <c r="O268" s="54">
        <f t="shared" ref="O268:O270" si="17">ROUND(STDEV(N248,N252,N256,N260,N264),1)</f>
        <v>0.4</v>
      </c>
    </row>
    <row r="269" spans="1:17" ht="15">
      <c r="I269" s="48" t="s">
        <v>783</v>
      </c>
      <c r="J269" s="53">
        <f t="shared" si="12"/>
        <v>29.4</v>
      </c>
      <c r="K269" s="53">
        <f t="shared" si="13"/>
        <v>3.6</v>
      </c>
      <c r="L269" s="53">
        <f t="shared" si="14"/>
        <v>50.9</v>
      </c>
      <c r="M269" s="53">
        <f t="shared" si="15"/>
        <v>10.1</v>
      </c>
      <c r="N269" s="53">
        <f t="shared" si="16"/>
        <v>14.8</v>
      </c>
      <c r="O269" s="54">
        <f t="shared" si="17"/>
        <v>2.7</v>
      </c>
    </row>
    <row r="270" spans="1:17" ht="16" thickBot="1">
      <c r="I270" s="49" t="s">
        <v>221</v>
      </c>
      <c r="J270" s="55">
        <f t="shared" si="12"/>
        <v>42.8</v>
      </c>
      <c r="K270" s="55">
        <f t="shared" si="13"/>
        <v>3.8</v>
      </c>
      <c r="L270" s="55">
        <f t="shared" si="14"/>
        <v>61.7</v>
      </c>
      <c r="M270" s="55">
        <f t="shared" si="15"/>
        <v>7.5</v>
      </c>
      <c r="N270" s="55">
        <f>ROUND(AVERAGE(N250,N254,N258,N262,N266),1)</f>
        <v>26.4</v>
      </c>
      <c r="O270" s="56">
        <f t="shared" si="17"/>
        <v>4</v>
      </c>
    </row>
    <row r="271" spans="1:17" s="1" customFormat="1" ht="15">
      <c r="A271" s="3"/>
      <c r="B271" s="5"/>
      <c r="C271" s="5"/>
      <c r="D271" s="3"/>
      <c r="E271" s="3"/>
      <c r="F271" s="3"/>
      <c r="G271" s="3"/>
      <c r="H271" s="57"/>
      <c r="I271" s="57"/>
      <c r="J271" s="3"/>
      <c r="K271" s="3"/>
      <c r="L271" s="3"/>
      <c r="M271" s="3"/>
      <c r="N271" s="3"/>
      <c r="O271" s="3"/>
      <c r="P271" s="3"/>
      <c r="Q271" s="64"/>
    </row>
    <row r="272" spans="1:17" s="1" customFormat="1" ht="15">
      <c r="A272" s="293"/>
      <c r="B272" s="297"/>
      <c r="C272" s="297"/>
      <c r="D272" s="293"/>
      <c r="E272" s="293"/>
      <c r="F272" s="293"/>
      <c r="G272" s="293"/>
      <c r="H272" s="348"/>
      <c r="I272" s="348"/>
      <c r="J272" s="293"/>
      <c r="K272" s="293"/>
      <c r="L272" s="293"/>
      <c r="M272" s="293"/>
      <c r="N272" s="293"/>
      <c r="O272" s="293"/>
      <c r="P272" s="293"/>
      <c r="Q272" s="64"/>
    </row>
    <row r="273" spans="1:17" s="1" customFormat="1" ht="15">
      <c r="A273" s="3"/>
      <c r="B273" s="5"/>
      <c r="C273" s="5"/>
      <c r="D273" s="3"/>
      <c r="E273" s="3"/>
      <c r="F273" s="3"/>
      <c r="G273" s="3"/>
      <c r="H273" s="57"/>
      <c r="I273" s="57"/>
      <c r="J273" s="3"/>
      <c r="K273" s="3"/>
      <c r="L273" s="3"/>
      <c r="M273" s="3"/>
      <c r="N273" s="3"/>
      <c r="O273" s="3"/>
      <c r="P273" s="3"/>
      <c r="Q273" s="64"/>
    </row>
    <row r="274" spans="1:17" s="26" customFormat="1" ht="15">
      <c r="A274" s="19" t="s">
        <v>821</v>
      </c>
      <c r="B274" s="29" t="s">
        <v>822</v>
      </c>
      <c r="C274" s="29" t="s">
        <v>823</v>
      </c>
      <c r="D274" s="19" t="s">
        <v>692</v>
      </c>
      <c r="E274" s="19">
        <v>2004</v>
      </c>
      <c r="F274" s="19">
        <v>6</v>
      </c>
      <c r="G274" s="19" t="s">
        <v>693</v>
      </c>
      <c r="H274" s="28" t="s">
        <v>1047</v>
      </c>
      <c r="I274" s="28" t="s">
        <v>694</v>
      </c>
      <c r="J274" s="75">
        <v>89</v>
      </c>
      <c r="K274" s="75">
        <v>9</v>
      </c>
      <c r="L274" s="75">
        <v>77</v>
      </c>
      <c r="M274" s="75">
        <v>4</v>
      </c>
      <c r="N274" s="75">
        <v>64</v>
      </c>
      <c r="O274" s="75">
        <v>7</v>
      </c>
      <c r="P274" s="28" t="s">
        <v>695</v>
      </c>
      <c r="Q274" s="63"/>
    </row>
    <row r="275" spans="1:17" s="26" customFormat="1" ht="15">
      <c r="A275" s="19" t="s">
        <v>821</v>
      </c>
      <c r="B275" s="29" t="s">
        <v>822</v>
      </c>
      <c r="C275" s="29" t="s">
        <v>823</v>
      </c>
      <c r="D275" s="19" t="s">
        <v>692</v>
      </c>
      <c r="E275" s="19">
        <v>2004</v>
      </c>
      <c r="F275" s="19">
        <v>6</v>
      </c>
      <c r="G275" s="19" t="s">
        <v>693</v>
      </c>
      <c r="H275" s="28" t="s">
        <v>1047</v>
      </c>
      <c r="I275" s="28" t="s">
        <v>860</v>
      </c>
      <c r="J275" s="75">
        <v>115</v>
      </c>
      <c r="K275" s="75">
        <v>15</v>
      </c>
      <c r="L275" s="75">
        <v>62</v>
      </c>
      <c r="M275" s="75">
        <v>4</v>
      </c>
      <c r="N275" s="75">
        <v>71</v>
      </c>
      <c r="O275" s="75">
        <v>10</v>
      </c>
      <c r="P275" s="28" t="s">
        <v>985</v>
      </c>
      <c r="Q275" s="63"/>
    </row>
    <row r="276" spans="1:17" s="26" customFormat="1" ht="16" thickBot="1">
      <c r="A276" s="19" t="s">
        <v>821</v>
      </c>
      <c r="B276" s="29" t="s">
        <v>822</v>
      </c>
      <c r="C276" s="29" t="s">
        <v>823</v>
      </c>
      <c r="D276" s="19" t="s">
        <v>692</v>
      </c>
      <c r="E276" s="19">
        <v>2004</v>
      </c>
      <c r="F276" s="19">
        <v>6</v>
      </c>
      <c r="G276" s="19" t="s">
        <v>693</v>
      </c>
      <c r="H276" s="28" t="s">
        <v>1047</v>
      </c>
      <c r="I276" s="69" t="s">
        <v>699</v>
      </c>
      <c r="J276" s="93">
        <v>82</v>
      </c>
      <c r="K276" s="93">
        <v>9</v>
      </c>
      <c r="L276" s="93">
        <v>43</v>
      </c>
      <c r="M276" s="93">
        <v>4</v>
      </c>
      <c r="N276" s="93">
        <v>35</v>
      </c>
      <c r="O276" s="93">
        <v>5</v>
      </c>
      <c r="P276" s="28" t="s">
        <v>700</v>
      </c>
      <c r="Q276" s="63"/>
    </row>
    <row r="277" spans="1:17" s="1" customFormat="1" ht="16" thickBot="1">
      <c r="A277" s="3"/>
      <c r="B277" s="5"/>
      <c r="C277" s="5"/>
      <c r="D277" s="3"/>
      <c r="E277" s="3"/>
      <c r="F277" s="3"/>
      <c r="G277" s="3"/>
      <c r="H277" s="57"/>
      <c r="I277" s="62" t="s">
        <v>222</v>
      </c>
      <c r="J277" s="94">
        <f>ROUND(AVERAGE(J274:J276),1)</f>
        <v>95.3</v>
      </c>
      <c r="K277" s="94">
        <f>ROUND(STDEV(J274:J276),1)</f>
        <v>17.399999999999999</v>
      </c>
      <c r="L277" s="94">
        <f>ROUND(AVERAGE(L274:L276),1)</f>
        <v>60.7</v>
      </c>
      <c r="M277" s="94">
        <f>ROUND(STDEV(L274:L276),1)</f>
        <v>17</v>
      </c>
      <c r="N277" s="94">
        <f>ROUND(AVERAGE(N274:N276),1)</f>
        <v>56.7</v>
      </c>
      <c r="O277" s="95">
        <f>ROUND(STDEV(N274:N276),1)</f>
        <v>19.100000000000001</v>
      </c>
      <c r="P277" s="57"/>
      <c r="Q277" s="64"/>
    </row>
    <row r="278" spans="1:17" s="1" customFormat="1" ht="15">
      <c r="A278" s="3"/>
      <c r="B278" s="5"/>
      <c r="C278" s="5"/>
      <c r="D278" s="3"/>
      <c r="E278" s="3"/>
      <c r="F278" s="3"/>
      <c r="G278" s="3"/>
      <c r="H278" s="57"/>
      <c r="I278" s="57"/>
      <c r="J278" s="3"/>
      <c r="K278" s="3"/>
      <c r="L278" s="3"/>
      <c r="M278" s="3"/>
      <c r="N278" s="3"/>
      <c r="O278" s="3"/>
      <c r="P278" s="57"/>
      <c r="Q278" s="64"/>
    </row>
    <row r="279" spans="1:17" s="1" customFormat="1" ht="15">
      <c r="A279" s="293"/>
      <c r="B279" s="297"/>
      <c r="C279" s="297"/>
      <c r="D279" s="293"/>
      <c r="E279" s="293"/>
      <c r="F279" s="293"/>
      <c r="G279" s="293"/>
      <c r="H279" s="348"/>
      <c r="I279" s="348"/>
      <c r="J279" s="293"/>
      <c r="K279" s="293"/>
      <c r="L279" s="293"/>
      <c r="M279" s="293"/>
      <c r="N279" s="293"/>
      <c r="O279" s="293"/>
      <c r="P279" s="348"/>
      <c r="Q279" s="64"/>
    </row>
    <row r="280" spans="1:17" s="1" customFormat="1" ht="16" thickBot="1">
      <c r="A280" s="3"/>
      <c r="B280" s="5"/>
      <c r="C280" s="5"/>
      <c r="D280" s="3"/>
      <c r="E280" s="3"/>
      <c r="F280" s="3"/>
      <c r="G280" s="3"/>
      <c r="H280" s="57"/>
      <c r="I280" s="57"/>
      <c r="J280" s="3"/>
      <c r="K280" s="3"/>
      <c r="L280" s="3"/>
      <c r="M280" s="3"/>
      <c r="N280" s="3"/>
      <c r="O280" s="3"/>
      <c r="P280" s="57"/>
      <c r="Q280" s="64"/>
    </row>
    <row r="281" spans="1:17" s="26" customFormat="1" ht="15">
      <c r="A281" s="19" t="s">
        <v>857</v>
      </c>
      <c r="B281" s="29" t="s">
        <v>858</v>
      </c>
      <c r="C281" s="29" t="s">
        <v>1004</v>
      </c>
      <c r="D281" s="19" t="s">
        <v>983</v>
      </c>
      <c r="E281" s="19" t="s">
        <v>984</v>
      </c>
      <c r="F281" s="19" t="s">
        <v>1046</v>
      </c>
      <c r="G281" s="19" t="s">
        <v>1046</v>
      </c>
      <c r="H281" s="82" t="s">
        <v>1047</v>
      </c>
      <c r="I281" s="47" t="s">
        <v>176</v>
      </c>
      <c r="J281" s="96">
        <v>13</v>
      </c>
      <c r="K281" s="96">
        <v>2</v>
      </c>
      <c r="L281" s="96">
        <v>69</v>
      </c>
      <c r="M281" s="96">
        <v>32</v>
      </c>
      <c r="N281" s="96">
        <v>9</v>
      </c>
      <c r="O281" s="97">
        <v>4</v>
      </c>
      <c r="P281" s="30" t="s">
        <v>61</v>
      </c>
      <c r="Q281" s="63"/>
    </row>
    <row r="282" spans="1:17" s="26" customFormat="1" ht="15">
      <c r="A282" s="19" t="s">
        <v>857</v>
      </c>
      <c r="B282" s="29" t="s">
        <v>1219</v>
      </c>
      <c r="C282" s="29" t="s">
        <v>1220</v>
      </c>
      <c r="D282" s="19" t="s">
        <v>987</v>
      </c>
      <c r="E282" s="19" t="s">
        <v>984</v>
      </c>
      <c r="F282" s="19" t="s">
        <v>1046</v>
      </c>
      <c r="G282" s="19" t="s">
        <v>1046</v>
      </c>
      <c r="H282" s="82" t="s">
        <v>1047</v>
      </c>
      <c r="I282" s="48" t="s">
        <v>176</v>
      </c>
      <c r="J282" s="46">
        <v>17</v>
      </c>
      <c r="K282" s="46">
        <v>3</v>
      </c>
      <c r="L282" s="46">
        <v>35</v>
      </c>
      <c r="M282" s="46">
        <v>13</v>
      </c>
      <c r="N282" s="46">
        <v>6</v>
      </c>
      <c r="O282" s="98">
        <v>2</v>
      </c>
      <c r="P282" s="30" t="s">
        <v>62</v>
      </c>
      <c r="Q282" s="63"/>
    </row>
    <row r="283" spans="1:17" s="26" customFormat="1" ht="15">
      <c r="A283" s="19" t="s">
        <v>857</v>
      </c>
      <c r="B283" s="29" t="s">
        <v>988</v>
      </c>
      <c r="C283" s="29" t="s">
        <v>845</v>
      </c>
      <c r="D283" s="19" t="s">
        <v>846</v>
      </c>
      <c r="E283" s="19" t="s">
        <v>984</v>
      </c>
      <c r="F283" s="19" t="s">
        <v>1046</v>
      </c>
      <c r="G283" s="19" t="s">
        <v>1046</v>
      </c>
      <c r="H283" s="82" t="s">
        <v>1047</v>
      </c>
      <c r="I283" s="48" t="s">
        <v>176</v>
      </c>
      <c r="J283" s="46">
        <v>47</v>
      </c>
      <c r="K283" s="46">
        <v>9</v>
      </c>
      <c r="L283" s="46">
        <v>36</v>
      </c>
      <c r="M283" s="46">
        <v>9</v>
      </c>
      <c r="N283" s="46">
        <v>17</v>
      </c>
      <c r="O283" s="98">
        <v>3</v>
      </c>
      <c r="P283" s="30" t="s">
        <v>63</v>
      </c>
      <c r="Q283" s="63"/>
    </row>
    <row r="284" spans="1:17" s="26" customFormat="1" ht="15">
      <c r="A284" s="19" t="s">
        <v>857</v>
      </c>
      <c r="B284" s="29" t="s">
        <v>847</v>
      </c>
      <c r="C284" s="29" t="s">
        <v>848</v>
      </c>
      <c r="D284" s="19" t="s">
        <v>1221</v>
      </c>
      <c r="E284" s="19" t="s">
        <v>984</v>
      </c>
      <c r="F284" s="19" t="s">
        <v>1046</v>
      </c>
      <c r="G284" s="19" t="s">
        <v>1046</v>
      </c>
      <c r="H284" s="82" t="s">
        <v>1047</v>
      </c>
      <c r="I284" s="48" t="s">
        <v>176</v>
      </c>
      <c r="J284" s="46">
        <v>15</v>
      </c>
      <c r="K284" s="46">
        <v>0</v>
      </c>
      <c r="L284" s="46">
        <v>60</v>
      </c>
      <c r="M284" s="46">
        <v>20</v>
      </c>
      <c r="N284" s="46">
        <v>9</v>
      </c>
      <c r="O284" s="98">
        <v>3</v>
      </c>
      <c r="P284" s="30" t="s">
        <v>1218</v>
      </c>
      <c r="Q284" s="63"/>
    </row>
    <row r="285" spans="1:17" s="26" customFormat="1" ht="15">
      <c r="A285" s="19" t="s">
        <v>857</v>
      </c>
      <c r="B285" s="29" t="s">
        <v>1222</v>
      </c>
      <c r="C285" s="29" t="s">
        <v>1223</v>
      </c>
      <c r="D285" s="19" t="s">
        <v>1224</v>
      </c>
      <c r="E285" s="19" t="s">
        <v>984</v>
      </c>
      <c r="F285" s="19" t="s">
        <v>1046</v>
      </c>
      <c r="G285" s="19" t="s">
        <v>1046</v>
      </c>
      <c r="H285" s="82" t="s">
        <v>1047</v>
      </c>
      <c r="I285" s="48" t="s">
        <v>176</v>
      </c>
      <c r="J285" s="46">
        <v>3</v>
      </c>
      <c r="K285" s="46">
        <v>1</v>
      </c>
      <c r="L285" s="46">
        <v>33</v>
      </c>
      <c r="M285" s="46">
        <v>35</v>
      </c>
      <c r="N285" s="46">
        <v>1</v>
      </c>
      <c r="O285" s="98">
        <v>1</v>
      </c>
      <c r="P285" s="30" t="s">
        <v>1218</v>
      </c>
      <c r="Q285" s="63"/>
    </row>
    <row r="286" spans="1:17" s="26" customFormat="1" ht="15">
      <c r="A286" s="19" t="s">
        <v>857</v>
      </c>
      <c r="B286" s="29" t="s">
        <v>1052</v>
      </c>
      <c r="C286" s="29" t="s">
        <v>1053</v>
      </c>
      <c r="D286" s="19" t="s">
        <v>919</v>
      </c>
      <c r="E286" s="19" t="s">
        <v>984</v>
      </c>
      <c r="F286" s="19" t="s">
        <v>1046</v>
      </c>
      <c r="G286" s="19" t="s">
        <v>1046</v>
      </c>
      <c r="H286" s="82" t="s">
        <v>1047</v>
      </c>
      <c r="I286" s="48" t="s">
        <v>176</v>
      </c>
      <c r="J286" s="46">
        <v>18</v>
      </c>
      <c r="K286" s="46">
        <v>3</v>
      </c>
      <c r="L286" s="46">
        <v>72</v>
      </c>
      <c r="M286" s="46">
        <v>20</v>
      </c>
      <c r="N286" s="46">
        <v>13</v>
      </c>
      <c r="O286" s="98">
        <v>3</v>
      </c>
      <c r="P286" s="30" t="s">
        <v>1218</v>
      </c>
      <c r="Q286" s="63"/>
    </row>
    <row r="287" spans="1:17" s="26" customFormat="1" ht="15">
      <c r="A287" s="19" t="s">
        <v>857</v>
      </c>
      <c r="B287" s="29" t="s">
        <v>1044</v>
      </c>
      <c r="C287" s="29" t="s">
        <v>1058</v>
      </c>
      <c r="D287" s="19" t="s">
        <v>1014</v>
      </c>
      <c r="E287" s="19">
        <v>2004</v>
      </c>
      <c r="F287" s="19" t="s">
        <v>1046</v>
      </c>
      <c r="G287" s="19" t="s">
        <v>1046</v>
      </c>
      <c r="H287" s="82" t="s">
        <v>1047</v>
      </c>
      <c r="I287" s="48" t="s">
        <v>176</v>
      </c>
      <c r="J287" s="46">
        <v>72</v>
      </c>
      <c r="K287" s="46">
        <v>12</v>
      </c>
      <c r="L287" s="46">
        <v>26</v>
      </c>
      <c r="M287" s="46">
        <v>8</v>
      </c>
      <c r="N287" s="46">
        <v>19</v>
      </c>
      <c r="O287" s="98">
        <v>5</v>
      </c>
      <c r="P287" s="30" t="s">
        <v>998</v>
      </c>
      <c r="Q287" s="63"/>
    </row>
    <row r="288" spans="1:17" s="26" customFormat="1" ht="15">
      <c r="A288" s="19" t="s">
        <v>857</v>
      </c>
      <c r="B288" s="29" t="s">
        <v>999</v>
      </c>
      <c r="C288" s="29" t="s">
        <v>881</v>
      </c>
      <c r="D288" s="19" t="s">
        <v>882</v>
      </c>
      <c r="E288" s="19">
        <v>2004</v>
      </c>
      <c r="F288" s="19" t="s">
        <v>1046</v>
      </c>
      <c r="G288" s="19" t="s">
        <v>1046</v>
      </c>
      <c r="H288" s="82" t="s">
        <v>1047</v>
      </c>
      <c r="I288" s="48" t="s">
        <v>176</v>
      </c>
      <c r="J288" s="46">
        <v>36</v>
      </c>
      <c r="K288" s="46">
        <v>13</v>
      </c>
      <c r="L288" s="46">
        <v>86</v>
      </c>
      <c r="M288" s="46">
        <v>54</v>
      </c>
      <c r="N288" s="46">
        <v>31</v>
      </c>
      <c r="O288" s="98">
        <v>16</v>
      </c>
      <c r="P288" s="30" t="s">
        <v>998</v>
      </c>
      <c r="Q288" s="63"/>
    </row>
    <row r="289" spans="1:17" s="26" customFormat="1" ht="15">
      <c r="A289" s="19" t="s">
        <v>857</v>
      </c>
      <c r="B289" s="29" t="s">
        <v>883</v>
      </c>
      <c r="C289" s="29" t="s">
        <v>884</v>
      </c>
      <c r="D289" s="19" t="s">
        <v>1009</v>
      </c>
      <c r="E289" s="19">
        <v>2004</v>
      </c>
      <c r="F289" s="19" t="s">
        <v>1046</v>
      </c>
      <c r="G289" s="19" t="s">
        <v>1046</v>
      </c>
      <c r="H289" s="82" t="s">
        <v>1047</v>
      </c>
      <c r="I289" s="48" t="s">
        <v>176</v>
      </c>
      <c r="J289" s="46">
        <v>69</v>
      </c>
      <c r="K289" s="46">
        <v>19</v>
      </c>
      <c r="L289" s="46">
        <v>55</v>
      </c>
      <c r="M289" s="46">
        <v>46</v>
      </c>
      <c r="N289" s="46">
        <v>38</v>
      </c>
      <c r="O289" s="98">
        <v>30</v>
      </c>
      <c r="P289" s="30" t="s">
        <v>998</v>
      </c>
      <c r="Q289" s="63"/>
    </row>
    <row r="290" spans="1:17" s="26" customFormat="1" ht="15">
      <c r="A290" s="19" t="s">
        <v>857</v>
      </c>
      <c r="B290" s="29" t="s">
        <v>1044</v>
      </c>
      <c r="C290" s="29" t="s">
        <v>1010</v>
      </c>
      <c r="D290" s="19" t="s">
        <v>1012</v>
      </c>
      <c r="E290" s="19">
        <v>2004</v>
      </c>
      <c r="F290" s="19" t="s">
        <v>1046</v>
      </c>
      <c r="G290" s="19" t="s">
        <v>1046</v>
      </c>
      <c r="H290" s="82" t="s">
        <v>1047</v>
      </c>
      <c r="I290" s="48" t="s">
        <v>176</v>
      </c>
      <c r="J290" s="46">
        <v>23</v>
      </c>
      <c r="K290" s="46">
        <v>14</v>
      </c>
      <c r="L290" s="46">
        <v>87</v>
      </c>
      <c r="M290" s="46">
        <v>63</v>
      </c>
      <c r="N290" s="46">
        <v>20</v>
      </c>
      <c r="O290" s="98">
        <v>8</v>
      </c>
      <c r="P290" s="30" t="s">
        <v>998</v>
      </c>
      <c r="Q290" s="63"/>
    </row>
    <row r="291" spans="1:17" s="26" customFormat="1" ht="15">
      <c r="A291" s="19" t="s">
        <v>857</v>
      </c>
      <c r="B291" s="29" t="s">
        <v>1013</v>
      </c>
      <c r="C291" s="29" t="s">
        <v>1040</v>
      </c>
      <c r="D291" s="19" t="s">
        <v>1041</v>
      </c>
      <c r="E291" s="19">
        <v>2004</v>
      </c>
      <c r="F291" s="19" t="s">
        <v>1046</v>
      </c>
      <c r="G291" s="19" t="s">
        <v>1046</v>
      </c>
      <c r="H291" s="82" t="s">
        <v>1047</v>
      </c>
      <c r="I291" s="48" t="s">
        <v>176</v>
      </c>
      <c r="J291" s="46">
        <v>61</v>
      </c>
      <c r="K291" s="46">
        <v>41</v>
      </c>
      <c r="L291" s="46">
        <v>57</v>
      </c>
      <c r="M291" s="46">
        <v>47</v>
      </c>
      <c r="N291" s="46">
        <v>35</v>
      </c>
      <c r="O291" s="98">
        <v>17</v>
      </c>
      <c r="P291" s="30" t="s">
        <v>998</v>
      </c>
      <c r="Q291" s="63"/>
    </row>
    <row r="292" spans="1:17" s="26" customFormat="1" ht="15">
      <c r="A292" s="19" t="s">
        <v>857</v>
      </c>
      <c r="B292" s="29" t="s">
        <v>1042</v>
      </c>
      <c r="C292" s="29" t="s">
        <v>1043</v>
      </c>
      <c r="D292" s="19" t="s">
        <v>1265</v>
      </c>
      <c r="E292" s="19">
        <v>2005</v>
      </c>
      <c r="F292" s="19" t="s">
        <v>1046</v>
      </c>
      <c r="G292" s="19" t="s">
        <v>1046</v>
      </c>
      <c r="H292" s="82" t="s">
        <v>1047</v>
      </c>
      <c r="I292" s="48" t="s">
        <v>176</v>
      </c>
      <c r="J292" s="46">
        <v>84</v>
      </c>
      <c r="K292" s="46">
        <v>30</v>
      </c>
      <c r="L292" s="46">
        <v>46</v>
      </c>
      <c r="M292" s="46">
        <v>31</v>
      </c>
      <c r="N292" s="46">
        <v>39</v>
      </c>
      <c r="O292" s="98">
        <v>22</v>
      </c>
      <c r="P292" s="30" t="s">
        <v>998</v>
      </c>
      <c r="Q292" s="63"/>
    </row>
    <row r="293" spans="1:17" s="26" customFormat="1" ht="16" thickBot="1">
      <c r="A293" s="19" t="s">
        <v>857</v>
      </c>
      <c r="B293" s="29" t="s">
        <v>1266</v>
      </c>
      <c r="C293" s="29" t="s">
        <v>1267</v>
      </c>
      <c r="D293" s="19" t="s">
        <v>1268</v>
      </c>
      <c r="E293" s="19">
        <v>2005</v>
      </c>
      <c r="F293" s="19" t="s">
        <v>1046</v>
      </c>
      <c r="G293" s="19" t="s">
        <v>1046</v>
      </c>
      <c r="H293" s="82" t="s">
        <v>1047</v>
      </c>
      <c r="I293" s="49" t="s">
        <v>177</v>
      </c>
      <c r="J293" s="99">
        <v>37</v>
      </c>
      <c r="K293" s="99">
        <v>9</v>
      </c>
      <c r="L293" s="99">
        <v>59</v>
      </c>
      <c r="M293" s="99">
        <v>35</v>
      </c>
      <c r="N293" s="99">
        <v>22</v>
      </c>
      <c r="O293" s="100">
        <v>12</v>
      </c>
      <c r="P293" s="30" t="s">
        <v>998</v>
      </c>
      <c r="Q293" s="63"/>
    </row>
    <row r="294" spans="1:17" s="1" customFormat="1" ht="15">
      <c r="A294" s="3"/>
      <c r="B294" s="5"/>
      <c r="C294" s="5"/>
      <c r="D294" s="3"/>
      <c r="E294" s="3"/>
      <c r="F294" s="3"/>
      <c r="G294" s="3"/>
      <c r="H294" s="57"/>
      <c r="I294" s="57"/>
      <c r="J294" s="3"/>
      <c r="K294" s="3"/>
      <c r="L294" s="3"/>
      <c r="M294" s="3"/>
      <c r="N294" s="3"/>
      <c r="O294" s="3"/>
      <c r="P294" s="3"/>
      <c r="Q294" s="64"/>
    </row>
    <row r="295" spans="1:17" s="1" customFormat="1" ht="15">
      <c r="A295" s="293"/>
      <c r="B295" s="297"/>
      <c r="C295" s="297"/>
      <c r="D295" s="293"/>
      <c r="E295" s="293"/>
      <c r="F295" s="293"/>
      <c r="G295" s="293"/>
      <c r="H295" s="348"/>
      <c r="I295" s="348"/>
      <c r="J295" s="293"/>
      <c r="K295" s="293"/>
      <c r="L295" s="293"/>
      <c r="M295" s="293"/>
      <c r="N295" s="293"/>
      <c r="O295" s="293"/>
      <c r="P295" s="293"/>
      <c r="Q295" s="64"/>
    </row>
    <row r="296" spans="1:17" s="1" customFormat="1" ht="15">
      <c r="A296" s="3"/>
      <c r="B296" s="5"/>
      <c r="C296" s="5"/>
      <c r="D296" s="3"/>
      <c r="E296" s="3"/>
      <c r="F296" s="3"/>
      <c r="G296" s="3"/>
      <c r="H296" s="57"/>
      <c r="I296" s="57"/>
      <c r="J296" s="3"/>
      <c r="K296" s="3"/>
      <c r="L296" s="3"/>
      <c r="M296" s="3"/>
      <c r="N296" s="3"/>
      <c r="O296" s="3"/>
      <c r="P296" s="3"/>
      <c r="Q296" s="64"/>
    </row>
    <row r="297" spans="1:17" s="26" customFormat="1" ht="15">
      <c r="A297" s="19" t="s">
        <v>1167</v>
      </c>
      <c r="B297" s="29" t="s">
        <v>1168</v>
      </c>
      <c r="C297" s="29" t="s">
        <v>1169</v>
      </c>
      <c r="D297" s="19" t="s">
        <v>1170</v>
      </c>
      <c r="E297" s="19">
        <v>1991</v>
      </c>
      <c r="F297" s="19">
        <v>6</v>
      </c>
      <c r="G297" s="19">
        <v>20</v>
      </c>
      <c r="H297" s="28" t="s">
        <v>1047</v>
      </c>
      <c r="I297" s="28" t="s">
        <v>1179</v>
      </c>
      <c r="J297" s="22">
        <v>15.7</v>
      </c>
      <c r="K297" s="22" t="s">
        <v>253</v>
      </c>
      <c r="L297" s="22">
        <f>(N297/J297)*100</f>
        <v>84.076433121019107</v>
      </c>
      <c r="M297" s="22" t="s">
        <v>253</v>
      </c>
      <c r="N297" s="22">
        <v>13.2</v>
      </c>
      <c r="O297" s="22" t="s">
        <v>253</v>
      </c>
      <c r="P297" s="19" t="s">
        <v>1188</v>
      </c>
      <c r="Q297" s="63"/>
    </row>
    <row r="298" spans="1:17" s="26" customFormat="1" ht="15">
      <c r="A298" s="19" t="s">
        <v>1167</v>
      </c>
      <c r="B298" s="29" t="s">
        <v>1168</v>
      </c>
      <c r="C298" s="29" t="s">
        <v>1169</v>
      </c>
      <c r="D298" s="19" t="s">
        <v>1170</v>
      </c>
      <c r="E298" s="19">
        <v>1991</v>
      </c>
      <c r="F298" s="19">
        <v>6</v>
      </c>
      <c r="G298" s="19">
        <v>20</v>
      </c>
      <c r="H298" s="28" t="s">
        <v>1047</v>
      </c>
      <c r="I298" s="28" t="s">
        <v>1189</v>
      </c>
      <c r="J298" s="22">
        <v>8.6999999999999993</v>
      </c>
      <c r="K298" s="22" t="s">
        <v>986</v>
      </c>
      <c r="L298" s="22">
        <f t="shared" ref="L298:L311" si="18">(N298/J298)*100</f>
        <v>8.0459770114942533</v>
      </c>
      <c r="M298" s="22" t="s">
        <v>986</v>
      </c>
      <c r="N298" s="22">
        <v>0.7</v>
      </c>
      <c r="O298" s="22" t="s">
        <v>986</v>
      </c>
      <c r="P298" s="19" t="s">
        <v>1188</v>
      </c>
      <c r="Q298" s="63"/>
    </row>
    <row r="299" spans="1:17" s="26" customFormat="1" ht="15">
      <c r="A299" s="19" t="s">
        <v>1167</v>
      </c>
      <c r="B299" s="29" t="s">
        <v>1168</v>
      </c>
      <c r="C299" s="29" t="s">
        <v>1169</v>
      </c>
      <c r="D299" s="19" t="s">
        <v>1170</v>
      </c>
      <c r="E299" s="19">
        <v>1991</v>
      </c>
      <c r="F299" s="19">
        <v>6</v>
      </c>
      <c r="G299" s="19">
        <v>20</v>
      </c>
      <c r="H299" s="28" t="s">
        <v>1047</v>
      </c>
      <c r="I299" s="28" t="s">
        <v>959</v>
      </c>
      <c r="J299" s="22">
        <v>24.4</v>
      </c>
      <c r="K299" s="22" t="s">
        <v>986</v>
      </c>
      <c r="L299" s="22">
        <f t="shared" si="18"/>
        <v>56.967213114754102</v>
      </c>
      <c r="M299" s="22" t="s">
        <v>986</v>
      </c>
      <c r="N299" s="22">
        <v>13.9</v>
      </c>
      <c r="O299" s="22" t="s">
        <v>986</v>
      </c>
      <c r="P299" s="19" t="s">
        <v>1188</v>
      </c>
      <c r="Q299" s="63"/>
    </row>
    <row r="300" spans="1:17" s="26" customFormat="1" ht="15">
      <c r="A300" s="19" t="s">
        <v>1167</v>
      </c>
      <c r="B300" s="29" t="s">
        <v>1168</v>
      </c>
      <c r="C300" s="29" t="s">
        <v>1169</v>
      </c>
      <c r="D300" s="19" t="s">
        <v>1170</v>
      </c>
      <c r="E300" s="19">
        <v>1991</v>
      </c>
      <c r="F300" s="19">
        <v>6</v>
      </c>
      <c r="G300" s="19">
        <v>20</v>
      </c>
      <c r="H300" s="28" t="s">
        <v>1047</v>
      </c>
      <c r="I300" s="28" t="s">
        <v>486</v>
      </c>
      <c r="J300" s="22">
        <v>63.9</v>
      </c>
      <c r="K300" s="22" t="s">
        <v>986</v>
      </c>
      <c r="L300" s="22">
        <f t="shared" si="18"/>
        <v>38.341158059467915</v>
      </c>
      <c r="M300" s="22" t="s">
        <v>986</v>
      </c>
      <c r="N300" s="22">
        <v>24.5</v>
      </c>
      <c r="O300" s="22" t="s">
        <v>986</v>
      </c>
      <c r="P300" s="19" t="s">
        <v>1188</v>
      </c>
      <c r="Q300" s="63"/>
    </row>
    <row r="301" spans="1:17" s="26" customFormat="1" ht="15">
      <c r="A301" s="19" t="s">
        <v>1167</v>
      </c>
      <c r="B301" s="29" t="s">
        <v>1168</v>
      </c>
      <c r="C301" s="29" t="s">
        <v>1169</v>
      </c>
      <c r="D301" s="19" t="s">
        <v>1170</v>
      </c>
      <c r="E301" s="19">
        <v>1991</v>
      </c>
      <c r="F301" s="19">
        <v>6</v>
      </c>
      <c r="G301" s="19">
        <v>20</v>
      </c>
      <c r="H301" s="28" t="s">
        <v>1047</v>
      </c>
      <c r="I301" s="28" t="s">
        <v>485</v>
      </c>
      <c r="J301" s="22">
        <v>112.7</v>
      </c>
      <c r="K301" s="22" t="s">
        <v>986</v>
      </c>
      <c r="L301" s="22">
        <f t="shared" si="18"/>
        <v>34.072759538598049</v>
      </c>
      <c r="M301" s="22" t="s">
        <v>986</v>
      </c>
      <c r="N301" s="22">
        <v>38.4</v>
      </c>
      <c r="O301" s="22" t="s">
        <v>986</v>
      </c>
      <c r="P301" s="19" t="s">
        <v>1188</v>
      </c>
      <c r="Q301" s="63"/>
    </row>
    <row r="302" spans="1:17" s="26" customFormat="1" ht="15">
      <c r="A302" s="19" t="s">
        <v>591</v>
      </c>
      <c r="B302" s="29" t="s">
        <v>1168</v>
      </c>
      <c r="C302" s="29" t="s">
        <v>1169</v>
      </c>
      <c r="D302" s="19" t="s">
        <v>592</v>
      </c>
      <c r="E302" s="19">
        <v>1991</v>
      </c>
      <c r="F302" s="19">
        <v>6</v>
      </c>
      <c r="G302" s="19">
        <v>20</v>
      </c>
      <c r="H302" s="28" t="s">
        <v>1047</v>
      </c>
      <c r="I302" s="28" t="s">
        <v>1179</v>
      </c>
      <c r="J302" s="22">
        <v>8.6999999999999993</v>
      </c>
      <c r="K302" s="22" t="s">
        <v>986</v>
      </c>
      <c r="L302" s="22">
        <f t="shared" si="18"/>
        <v>62.068965517241395</v>
      </c>
      <c r="M302" s="22" t="s">
        <v>986</v>
      </c>
      <c r="N302" s="22">
        <v>5.4</v>
      </c>
      <c r="O302" s="22" t="s">
        <v>986</v>
      </c>
      <c r="P302" s="19" t="s">
        <v>593</v>
      </c>
      <c r="Q302" s="63"/>
    </row>
    <row r="303" spans="1:17" s="26" customFormat="1" ht="15">
      <c r="A303" s="19" t="s">
        <v>1167</v>
      </c>
      <c r="B303" s="29" t="s">
        <v>1168</v>
      </c>
      <c r="C303" s="29" t="s">
        <v>1169</v>
      </c>
      <c r="D303" s="19" t="s">
        <v>592</v>
      </c>
      <c r="E303" s="19">
        <v>1991</v>
      </c>
      <c r="F303" s="19">
        <v>6</v>
      </c>
      <c r="G303" s="19">
        <v>20</v>
      </c>
      <c r="H303" s="28" t="s">
        <v>1047</v>
      </c>
      <c r="I303" s="28" t="s">
        <v>1189</v>
      </c>
      <c r="J303" s="22">
        <v>7.8</v>
      </c>
      <c r="K303" s="22" t="s">
        <v>986</v>
      </c>
      <c r="L303" s="22">
        <f t="shared" si="18"/>
        <v>2.5641025641025643</v>
      </c>
      <c r="M303" s="22" t="s">
        <v>986</v>
      </c>
      <c r="N303" s="22">
        <v>0.2</v>
      </c>
      <c r="O303" s="22" t="s">
        <v>986</v>
      </c>
      <c r="P303" s="19" t="s">
        <v>593</v>
      </c>
      <c r="Q303" s="63"/>
    </row>
    <row r="304" spans="1:17" s="26" customFormat="1" ht="15">
      <c r="A304" s="19" t="s">
        <v>1167</v>
      </c>
      <c r="B304" s="29" t="s">
        <v>1168</v>
      </c>
      <c r="C304" s="29" t="s">
        <v>1169</v>
      </c>
      <c r="D304" s="19" t="s">
        <v>592</v>
      </c>
      <c r="E304" s="19">
        <v>1991</v>
      </c>
      <c r="F304" s="19">
        <v>6</v>
      </c>
      <c r="G304" s="19">
        <v>20</v>
      </c>
      <c r="H304" s="28" t="s">
        <v>1047</v>
      </c>
      <c r="I304" s="28" t="s">
        <v>959</v>
      </c>
      <c r="J304" s="22">
        <v>16.600000000000001</v>
      </c>
      <c r="K304" s="22" t="s">
        <v>986</v>
      </c>
      <c r="L304" s="22">
        <f t="shared" si="18"/>
        <v>33.734939759036145</v>
      </c>
      <c r="M304" s="22" t="s">
        <v>986</v>
      </c>
      <c r="N304" s="22">
        <v>5.6</v>
      </c>
      <c r="O304" s="22" t="s">
        <v>986</v>
      </c>
      <c r="P304" s="19" t="s">
        <v>593</v>
      </c>
      <c r="Q304" s="63"/>
    </row>
    <row r="305" spans="1:17" s="26" customFormat="1" ht="15">
      <c r="A305" s="19" t="s">
        <v>1167</v>
      </c>
      <c r="B305" s="29" t="s">
        <v>1168</v>
      </c>
      <c r="C305" s="29" t="s">
        <v>1169</v>
      </c>
      <c r="D305" s="19" t="s">
        <v>592</v>
      </c>
      <c r="E305" s="19">
        <v>1991</v>
      </c>
      <c r="F305" s="19">
        <v>6</v>
      </c>
      <c r="G305" s="19">
        <v>20</v>
      </c>
      <c r="H305" s="28" t="s">
        <v>1047</v>
      </c>
      <c r="I305" s="28" t="s">
        <v>486</v>
      </c>
      <c r="J305" s="22">
        <v>73.8</v>
      </c>
      <c r="K305" s="22" t="s">
        <v>986</v>
      </c>
      <c r="L305" s="22">
        <f t="shared" si="18"/>
        <v>33.875338753387538</v>
      </c>
      <c r="M305" s="22" t="s">
        <v>986</v>
      </c>
      <c r="N305" s="22">
        <v>25</v>
      </c>
      <c r="O305" s="22" t="s">
        <v>986</v>
      </c>
      <c r="P305" s="19" t="s">
        <v>593</v>
      </c>
      <c r="Q305" s="63"/>
    </row>
    <row r="306" spans="1:17" s="26" customFormat="1" ht="15">
      <c r="A306" s="19" t="s">
        <v>1167</v>
      </c>
      <c r="B306" s="29" t="s">
        <v>1168</v>
      </c>
      <c r="C306" s="29" t="s">
        <v>1169</v>
      </c>
      <c r="D306" s="19" t="s">
        <v>592</v>
      </c>
      <c r="E306" s="19">
        <v>1991</v>
      </c>
      <c r="F306" s="19">
        <v>6</v>
      </c>
      <c r="G306" s="19">
        <v>20</v>
      </c>
      <c r="H306" s="28" t="s">
        <v>1047</v>
      </c>
      <c r="I306" s="28" t="s">
        <v>485</v>
      </c>
      <c r="J306" s="22">
        <v>90.4</v>
      </c>
      <c r="K306" s="22" t="s">
        <v>986</v>
      </c>
      <c r="L306" s="22">
        <f t="shared" si="18"/>
        <v>33.849557522123888</v>
      </c>
      <c r="M306" s="22" t="s">
        <v>986</v>
      </c>
      <c r="N306" s="22">
        <v>30.6</v>
      </c>
      <c r="O306" s="22" t="s">
        <v>986</v>
      </c>
      <c r="P306" s="19" t="s">
        <v>593</v>
      </c>
      <c r="Q306" s="63"/>
    </row>
    <row r="307" spans="1:17" s="26" customFormat="1" ht="15">
      <c r="A307" s="19" t="s">
        <v>32</v>
      </c>
      <c r="B307" s="29" t="s">
        <v>1168</v>
      </c>
      <c r="C307" s="29" t="s">
        <v>1169</v>
      </c>
      <c r="D307" s="19" t="s">
        <v>592</v>
      </c>
      <c r="E307" s="19">
        <v>1991</v>
      </c>
      <c r="F307" s="19">
        <v>6</v>
      </c>
      <c r="G307" s="19">
        <v>20</v>
      </c>
      <c r="H307" s="28" t="s">
        <v>1047</v>
      </c>
      <c r="I307" s="28" t="s">
        <v>594</v>
      </c>
      <c r="J307" s="22">
        <v>8.3000000000000007</v>
      </c>
      <c r="K307" s="22" t="s">
        <v>986</v>
      </c>
      <c r="L307" s="22">
        <f t="shared" si="18"/>
        <v>67.46987951807229</v>
      </c>
      <c r="M307" s="22" t="s">
        <v>986</v>
      </c>
      <c r="N307" s="22">
        <v>5.6</v>
      </c>
      <c r="O307" s="22" t="s">
        <v>986</v>
      </c>
      <c r="P307" s="19" t="s">
        <v>595</v>
      </c>
      <c r="Q307" s="63"/>
    </row>
    <row r="308" spans="1:17" s="26" customFormat="1" ht="15">
      <c r="A308" s="19" t="s">
        <v>1167</v>
      </c>
      <c r="B308" s="29" t="s">
        <v>1168</v>
      </c>
      <c r="C308" s="29" t="s">
        <v>1169</v>
      </c>
      <c r="D308" s="19" t="s">
        <v>592</v>
      </c>
      <c r="E308" s="19">
        <v>1991</v>
      </c>
      <c r="F308" s="19">
        <v>6</v>
      </c>
      <c r="G308" s="19">
        <v>20</v>
      </c>
      <c r="H308" s="28" t="s">
        <v>1047</v>
      </c>
      <c r="I308" s="28" t="s">
        <v>1189</v>
      </c>
      <c r="J308" s="22">
        <v>7</v>
      </c>
      <c r="K308" s="22" t="s">
        <v>986</v>
      </c>
      <c r="L308" s="22">
        <f t="shared" si="18"/>
        <v>2.8571428571428572</v>
      </c>
      <c r="M308" s="22" t="s">
        <v>986</v>
      </c>
      <c r="N308" s="22">
        <v>0.2</v>
      </c>
      <c r="O308" s="22" t="s">
        <v>986</v>
      </c>
      <c r="P308" s="19" t="s">
        <v>595</v>
      </c>
      <c r="Q308" s="63"/>
    </row>
    <row r="309" spans="1:17" s="26" customFormat="1" ht="15">
      <c r="A309" s="19" t="s">
        <v>1167</v>
      </c>
      <c r="B309" s="29" t="s">
        <v>1168</v>
      </c>
      <c r="C309" s="29" t="s">
        <v>1169</v>
      </c>
      <c r="D309" s="19" t="s">
        <v>592</v>
      </c>
      <c r="E309" s="19">
        <v>1991</v>
      </c>
      <c r="F309" s="19">
        <v>6</v>
      </c>
      <c r="G309" s="19">
        <v>20</v>
      </c>
      <c r="H309" s="28" t="s">
        <v>1047</v>
      </c>
      <c r="I309" s="28" t="s">
        <v>959</v>
      </c>
      <c r="J309" s="22">
        <v>15.2</v>
      </c>
      <c r="K309" s="22" t="s">
        <v>986</v>
      </c>
      <c r="L309" s="22">
        <f t="shared" si="18"/>
        <v>38.15789473684211</v>
      </c>
      <c r="M309" s="22" t="s">
        <v>986</v>
      </c>
      <c r="N309" s="22">
        <v>5.8</v>
      </c>
      <c r="O309" s="22" t="s">
        <v>986</v>
      </c>
      <c r="P309" s="19" t="s">
        <v>595</v>
      </c>
      <c r="Q309" s="63"/>
    </row>
    <row r="310" spans="1:17" s="26" customFormat="1" ht="15">
      <c r="A310" s="19" t="s">
        <v>1167</v>
      </c>
      <c r="B310" s="29" t="s">
        <v>1168</v>
      </c>
      <c r="C310" s="29" t="s">
        <v>1169</v>
      </c>
      <c r="D310" s="19" t="s">
        <v>592</v>
      </c>
      <c r="E310" s="19">
        <v>1991</v>
      </c>
      <c r="F310" s="19">
        <v>6</v>
      </c>
      <c r="G310" s="19">
        <v>20</v>
      </c>
      <c r="H310" s="28" t="s">
        <v>1047</v>
      </c>
      <c r="I310" s="28" t="s">
        <v>486</v>
      </c>
      <c r="J310" s="22">
        <v>53.8</v>
      </c>
      <c r="K310" s="22" t="s">
        <v>986</v>
      </c>
      <c r="L310" s="22">
        <f t="shared" si="18"/>
        <v>44.423791821561338</v>
      </c>
      <c r="M310" s="22" t="s">
        <v>986</v>
      </c>
      <c r="N310" s="22">
        <v>23.9</v>
      </c>
      <c r="O310" s="22" t="s">
        <v>986</v>
      </c>
      <c r="P310" s="19" t="s">
        <v>595</v>
      </c>
      <c r="Q310" s="63"/>
    </row>
    <row r="311" spans="1:17" s="26" customFormat="1" ht="16" thickBot="1">
      <c r="A311" s="19" t="s">
        <v>1167</v>
      </c>
      <c r="B311" s="29" t="s">
        <v>1168</v>
      </c>
      <c r="C311" s="29" t="s">
        <v>1169</v>
      </c>
      <c r="D311" s="19" t="s">
        <v>592</v>
      </c>
      <c r="E311" s="19">
        <v>1991</v>
      </c>
      <c r="F311" s="19">
        <v>6</v>
      </c>
      <c r="G311" s="19">
        <v>20</v>
      </c>
      <c r="H311" s="28" t="s">
        <v>1047</v>
      </c>
      <c r="I311" s="69" t="s">
        <v>485</v>
      </c>
      <c r="J311" s="45">
        <v>69</v>
      </c>
      <c r="K311" s="45" t="s">
        <v>986</v>
      </c>
      <c r="L311" s="45">
        <f t="shared" si="18"/>
        <v>43.04347826086957</v>
      </c>
      <c r="M311" s="45" t="s">
        <v>986</v>
      </c>
      <c r="N311" s="45">
        <v>29.7</v>
      </c>
      <c r="O311" s="45" t="s">
        <v>986</v>
      </c>
      <c r="P311" s="19" t="s">
        <v>595</v>
      </c>
      <c r="Q311" s="63"/>
    </row>
    <row r="312" spans="1:17" ht="15">
      <c r="I312" s="47" t="s">
        <v>594</v>
      </c>
      <c r="J312" s="51">
        <f>ROUND(AVERAGE(J297,J302,J307),1)</f>
        <v>10.9</v>
      </c>
      <c r="K312" s="51">
        <f>ROUND(STDEV(J297,J302,J307),1)</f>
        <v>4.2</v>
      </c>
      <c r="L312" s="51">
        <f>ROUND(AVERAGE(L297,L302,L307),1)</f>
        <v>71.2</v>
      </c>
      <c r="M312" s="51">
        <f>ROUND(STDEV(L297,L302,L307),1)</f>
        <v>11.5</v>
      </c>
      <c r="N312" s="51">
        <f>ROUND(AVERAGE(N297,N302,N307),1)</f>
        <v>8.1</v>
      </c>
      <c r="O312" s="52">
        <f>ROUND(STDEV(N297,N302,N307),1)</f>
        <v>4.4000000000000004</v>
      </c>
    </row>
    <row r="313" spans="1:17" ht="15">
      <c r="I313" s="48" t="s">
        <v>1189</v>
      </c>
      <c r="J313" s="53">
        <f t="shared" ref="J313:J316" si="19">ROUND(AVERAGE(J298,J303,J308),1)</f>
        <v>7.8</v>
      </c>
      <c r="K313" s="53">
        <f t="shared" ref="K313:K316" si="20">ROUND(STDEV(J298,J303,J308),1)</f>
        <v>0.9</v>
      </c>
      <c r="L313" s="53">
        <f t="shared" ref="L313:L316" si="21">ROUND(AVERAGE(L298,L303,L308),1)</f>
        <v>4.5</v>
      </c>
      <c r="M313" s="53">
        <f t="shared" ref="M313:M316" si="22">ROUND(STDEV(L298,L303,L308),1)</f>
        <v>3.1</v>
      </c>
      <c r="N313" s="53">
        <f t="shared" ref="N313:N316" si="23">ROUND(AVERAGE(N298,N303,N308),1)</f>
        <v>0.4</v>
      </c>
      <c r="O313" s="54">
        <f t="shared" ref="O313:O316" si="24">ROUND(STDEV(N298,N303,N308),1)</f>
        <v>0.3</v>
      </c>
    </row>
    <row r="314" spans="1:17" ht="15">
      <c r="I314" s="48" t="s">
        <v>880</v>
      </c>
      <c r="J314" s="53">
        <f t="shared" si="19"/>
        <v>18.7</v>
      </c>
      <c r="K314" s="53">
        <f t="shared" si="20"/>
        <v>5</v>
      </c>
      <c r="L314" s="53">
        <f t="shared" si="21"/>
        <v>43</v>
      </c>
      <c r="M314" s="53">
        <f t="shared" si="22"/>
        <v>12.3</v>
      </c>
      <c r="N314" s="53">
        <f t="shared" si="23"/>
        <v>8.4</v>
      </c>
      <c r="O314" s="54">
        <f t="shared" si="24"/>
        <v>4.7</v>
      </c>
    </row>
    <row r="315" spans="1:17" ht="15">
      <c r="I315" s="48" t="s">
        <v>757</v>
      </c>
      <c r="J315" s="53">
        <f t="shared" si="19"/>
        <v>63.8</v>
      </c>
      <c r="K315" s="53">
        <f t="shared" si="20"/>
        <v>10</v>
      </c>
      <c r="L315" s="53">
        <f t="shared" si="21"/>
        <v>38.9</v>
      </c>
      <c r="M315" s="53">
        <f t="shared" si="22"/>
        <v>5.3</v>
      </c>
      <c r="N315" s="53">
        <f t="shared" si="23"/>
        <v>24.5</v>
      </c>
      <c r="O315" s="54">
        <f t="shared" si="24"/>
        <v>0.6</v>
      </c>
    </row>
    <row r="316" spans="1:17" ht="16" thickBot="1">
      <c r="I316" s="49" t="s">
        <v>758</v>
      </c>
      <c r="J316" s="55">
        <f t="shared" si="19"/>
        <v>90.7</v>
      </c>
      <c r="K316" s="55">
        <f t="shared" si="20"/>
        <v>21.9</v>
      </c>
      <c r="L316" s="55">
        <f t="shared" si="21"/>
        <v>37</v>
      </c>
      <c r="M316" s="55">
        <f t="shared" si="22"/>
        <v>5.2</v>
      </c>
      <c r="N316" s="55">
        <f t="shared" si="23"/>
        <v>32.9</v>
      </c>
      <c r="O316" s="56">
        <f>ROUND(STDEV(N301,N306,N311),1)</f>
        <v>4.8</v>
      </c>
    </row>
    <row r="317" spans="1:17">
      <c r="J317"/>
      <c r="K317"/>
      <c r="L317"/>
      <c r="M317"/>
      <c r="N317"/>
      <c r="O317"/>
    </row>
    <row r="318" spans="1:17" s="26" customFormat="1" ht="15">
      <c r="A318" s="19" t="s">
        <v>1167</v>
      </c>
      <c r="B318" s="29" t="s">
        <v>759</v>
      </c>
      <c r="C318" s="29" t="s">
        <v>760</v>
      </c>
      <c r="D318" s="19" t="s">
        <v>761</v>
      </c>
      <c r="E318" s="19">
        <v>1993</v>
      </c>
      <c r="F318" s="19">
        <v>7</v>
      </c>
      <c r="G318" s="19">
        <v>13</v>
      </c>
      <c r="H318" s="28" t="s">
        <v>1047</v>
      </c>
      <c r="I318" s="28" t="s">
        <v>1179</v>
      </c>
      <c r="J318" s="75">
        <v>10.5</v>
      </c>
      <c r="K318" s="22" t="s">
        <v>253</v>
      </c>
      <c r="L318" s="22">
        <f>(N318/J318)*100</f>
        <v>89.523809523809533</v>
      </c>
      <c r="M318" s="22" t="s">
        <v>253</v>
      </c>
      <c r="N318" s="22">
        <v>9.4</v>
      </c>
      <c r="O318" s="22" t="s">
        <v>253</v>
      </c>
      <c r="P318" s="19" t="s">
        <v>764</v>
      </c>
      <c r="Q318" s="63"/>
    </row>
    <row r="319" spans="1:17" s="26" customFormat="1" ht="15">
      <c r="A319" s="19" t="s">
        <v>1167</v>
      </c>
      <c r="B319" s="29" t="s">
        <v>759</v>
      </c>
      <c r="C319" s="29" t="s">
        <v>760</v>
      </c>
      <c r="D319" s="19" t="s">
        <v>761</v>
      </c>
      <c r="E319" s="19">
        <v>1993</v>
      </c>
      <c r="F319" s="19">
        <v>7</v>
      </c>
      <c r="G319" s="19">
        <v>13</v>
      </c>
      <c r="H319" s="28" t="s">
        <v>1047</v>
      </c>
      <c r="I319" s="28" t="s">
        <v>1189</v>
      </c>
      <c r="J319" s="22">
        <v>0</v>
      </c>
      <c r="K319" s="22" t="s">
        <v>253</v>
      </c>
      <c r="L319" s="22" t="s">
        <v>253</v>
      </c>
      <c r="M319" s="22" t="s">
        <v>253</v>
      </c>
      <c r="N319" s="22">
        <v>0</v>
      </c>
      <c r="O319" s="22" t="s">
        <v>253</v>
      </c>
      <c r="P319" s="19" t="s">
        <v>764</v>
      </c>
      <c r="Q319" s="63"/>
    </row>
    <row r="320" spans="1:17" s="26" customFormat="1" ht="15">
      <c r="A320" s="19" t="s">
        <v>1167</v>
      </c>
      <c r="B320" s="29" t="s">
        <v>759</v>
      </c>
      <c r="C320" s="29" t="s">
        <v>760</v>
      </c>
      <c r="D320" s="19" t="s">
        <v>761</v>
      </c>
      <c r="E320" s="19">
        <v>1993</v>
      </c>
      <c r="F320" s="19">
        <v>7</v>
      </c>
      <c r="G320" s="19">
        <v>13</v>
      </c>
      <c r="H320" s="28" t="s">
        <v>1047</v>
      </c>
      <c r="I320" s="28" t="s">
        <v>959</v>
      </c>
      <c r="J320" s="22">
        <v>10.5</v>
      </c>
      <c r="K320" s="22" t="s">
        <v>253</v>
      </c>
      <c r="L320" s="22">
        <f t="shared" ref="L320:L322" si="25">(N320/J320)*100</f>
        <v>89.523809523809533</v>
      </c>
      <c r="M320" s="22" t="s">
        <v>253</v>
      </c>
      <c r="N320" s="22">
        <v>9.4</v>
      </c>
      <c r="O320" s="22" t="s">
        <v>253</v>
      </c>
      <c r="P320" s="19" t="s">
        <v>764</v>
      </c>
      <c r="Q320" s="63"/>
    </row>
    <row r="321" spans="1:17" s="26" customFormat="1" ht="15">
      <c r="A321" s="19" t="s">
        <v>1167</v>
      </c>
      <c r="B321" s="29" t="s">
        <v>759</v>
      </c>
      <c r="C321" s="29" t="s">
        <v>760</v>
      </c>
      <c r="D321" s="19" t="s">
        <v>761</v>
      </c>
      <c r="E321" s="19">
        <v>1993</v>
      </c>
      <c r="F321" s="19">
        <v>7</v>
      </c>
      <c r="G321" s="19">
        <v>13</v>
      </c>
      <c r="H321" s="28" t="s">
        <v>1047</v>
      </c>
      <c r="I321" s="28" t="s">
        <v>486</v>
      </c>
      <c r="J321" s="22">
        <v>76.900000000000006</v>
      </c>
      <c r="K321" s="22" t="s">
        <v>253</v>
      </c>
      <c r="L321" s="22">
        <f t="shared" si="25"/>
        <v>59.817945383615076</v>
      </c>
      <c r="M321" s="22" t="s">
        <v>253</v>
      </c>
      <c r="N321" s="22">
        <v>46</v>
      </c>
      <c r="O321" s="22" t="s">
        <v>253</v>
      </c>
      <c r="P321" s="19" t="s">
        <v>764</v>
      </c>
      <c r="Q321" s="63"/>
    </row>
    <row r="322" spans="1:17" s="26" customFormat="1" ht="15">
      <c r="A322" s="19" t="s">
        <v>1167</v>
      </c>
      <c r="B322" s="29" t="s">
        <v>759</v>
      </c>
      <c r="C322" s="29" t="s">
        <v>760</v>
      </c>
      <c r="D322" s="19" t="s">
        <v>761</v>
      </c>
      <c r="E322" s="19">
        <v>1993</v>
      </c>
      <c r="F322" s="19">
        <v>7</v>
      </c>
      <c r="G322" s="19">
        <v>13</v>
      </c>
      <c r="H322" s="28" t="s">
        <v>1047</v>
      </c>
      <c r="I322" s="28" t="s">
        <v>485</v>
      </c>
      <c r="J322" s="22">
        <v>87.4</v>
      </c>
      <c r="K322" s="22" t="s">
        <v>253</v>
      </c>
      <c r="L322" s="22">
        <f t="shared" si="25"/>
        <v>63.386727688787182</v>
      </c>
      <c r="M322" s="22" t="s">
        <v>253</v>
      </c>
      <c r="N322" s="22">
        <v>55.4</v>
      </c>
      <c r="O322" s="22" t="s">
        <v>253</v>
      </c>
      <c r="P322" s="19" t="s">
        <v>764</v>
      </c>
      <c r="Q322" s="63"/>
    </row>
    <row r="323" spans="1:17" s="26" customFormat="1" ht="15">
      <c r="A323" s="19" t="s">
        <v>591</v>
      </c>
      <c r="B323" s="29" t="s">
        <v>759</v>
      </c>
      <c r="C323" s="29" t="s">
        <v>760</v>
      </c>
      <c r="D323" s="19" t="s">
        <v>761</v>
      </c>
      <c r="E323" s="19">
        <v>1993</v>
      </c>
      <c r="F323" s="19">
        <v>7</v>
      </c>
      <c r="G323" s="19">
        <v>13</v>
      </c>
      <c r="H323" s="28" t="s">
        <v>1047</v>
      </c>
      <c r="I323" s="28" t="s">
        <v>594</v>
      </c>
      <c r="J323" s="22">
        <v>9</v>
      </c>
      <c r="K323" s="22" t="s">
        <v>253</v>
      </c>
      <c r="L323" s="22">
        <f>(N323/J323)*100</f>
        <v>72.222222222222214</v>
      </c>
      <c r="M323" s="22" t="s">
        <v>253</v>
      </c>
      <c r="N323" s="22">
        <v>6.5</v>
      </c>
      <c r="O323" s="22" t="s">
        <v>253</v>
      </c>
      <c r="P323" s="19" t="s">
        <v>765</v>
      </c>
      <c r="Q323" s="63"/>
    </row>
    <row r="324" spans="1:17" s="26" customFormat="1" ht="15">
      <c r="A324" s="19" t="s">
        <v>1167</v>
      </c>
      <c r="B324" s="29" t="s">
        <v>759</v>
      </c>
      <c r="C324" s="29" t="s">
        <v>760</v>
      </c>
      <c r="D324" s="19" t="s">
        <v>761</v>
      </c>
      <c r="E324" s="19">
        <v>1993</v>
      </c>
      <c r="F324" s="19">
        <v>7</v>
      </c>
      <c r="G324" s="19">
        <v>13</v>
      </c>
      <c r="H324" s="28" t="s">
        <v>1047</v>
      </c>
      <c r="I324" s="28" t="s">
        <v>1189</v>
      </c>
      <c r="J324" s="22">
        <v>0.2</v>
      </c>
      <c r="K324" s="22" t="s">
        <v>253</v>
      </c>
      <c r="L324" s="22">
        <f t="shared" ref="L324:L327" si="26">(N324/J324)*100</f>
        <v>100</v>
      </c>
      <c r="M324" s="22" t="s">
        <v>253</v>
      </c>
      <c r="N324" s="22">
        <v>0.2</v>
      </c>
      <c r="O324" s="22" t="s">
        <v>253</v>
      </c>
      <c r="P324" s="19" t="s">
        <v>765</v>
      </c>
      <c r="Q324" s="63"/>
    </row>
    <row r="325" spans="1:17" s="26" customFormat="1" ht="15">
      <c r="A325" s="19" t="s">
        <v>1167</v>
      </c>
      <c r="B325" s="29" t="s">
        <v>759</v>
      </c>
      <c r="C325" s="29" t="s">
        <v>760</v>
      </c>
      <c r="D325" s="19" t="s">
        <v>761</v>
      </c>
      <c r="E325" s="19">
        <v>1993</v>
      </c>
      <c r="F325" s="19">
        <v>7</v>
      </c>
      <c r="G325" s="19">
        <v>13</v>
      </c>
      <c r="H325" s="28" t="s">
        <v>1047</v>
      </c>
      <c r="I325" s="28" t="s">
        <v>959</v>
      </c>
      <c r="J325" s="22">
        <v>9.1999999999999993</v>
      </c>
      <c r="K325" s="22" t="s">
        <v>253</v>
      </c>
      <c r="L325" s="22">
        <f t="shared" si="26"/>
        <v>72.826086956521749</v>
      </c>
      <c r="M325" s="22" t="s">
        <v>253</v>
      </c>
      <c r="N325" s="22">
        <v>6.7</v>
      </c>
      <c r="O325" s="22" t="s">
        <v>253</v>
      </c>
      <c r="P325" s="19" t="s">
        <v>765</v>
      </c>
      <c r="Q325" s="63"/>
    </row>
    <row r="326" spans="1:17" s="26" customFormat="1" ht="15">
      <c r="A326" s="19" t="s">
        <v>1167</v>
      </c>
      <c r="B326" s="29" t="s">
        <v>759</v>
      </c>
      <c r="C326" s="29" t="s">
        <v>760</v>
      </c>
      <c r="D326" s="19" t="s">
        <v>761</v>
      </c>
      <c r="E326" s="19">
        <v>1993</v>
      </c>
      <c r="F326" s="19">
        <v>7</v>
      </c>
      <c r="G326" s="19">
        <v>13</v>
      </c>
      <c r="H326" s="28" t="s">
        <v>1047</v>
      </c>
      <c r="I326" s="28" t="s">
        <v>486</v>
      </c>
      <c r="J326" s="22">
        <v>72</v>
      </c>
      <c r="K326" s="22" t="s">
        <v>253</v>
      </c>
      <c r="L326" s="22">
        <f t="shared" si="26"/>
        <v>56.527777777777779</v>
      </c>
      <c r="M326" s="22" t="s">
        <v>253</v>
      </c>
      <c r="N326" s="22">
        <v>40.700000000000003</v>
      </c>
      <c r="O326" s="22" t="s">
        <v>253</v>
      </c>
      <c r="P326" s="19" t="s">
        <v>765</v>
      </c>
      <c r="Q326" s="63"/>
    </row>
    <row r="327" spans="1:17" s="26" customFormat="1" ht="16" thickBot="1">
      <c r="A327" s="19" t="s">
        <v>1167</v>
      </c>
      <c r="B327" s="29" t="s">
        <v>759</v>
      </c>
      <c r="C327" s="29" t="s">
        <v>760</v>
      </c>
      <c r="D327" s="19" t="s">
        <v>761</v>
      </c>
      <c r="E327" s="19">
        <v>1993</v>
      </c>
      <c r="F327" s="19">
        <v>7</v>
      </c>
      <c r="G327" s="19">
        <v>13</v>
      </c>
      <c r="H327" s="28" t="s">
        <v>1047</v>
      </c>
      <c r="I327" s="69" t="s">
        <v>485</v>
      </c>
      <c r="J327" s="45">
        <v>81.2</v>
      </c>
      <c r="K327" s="45" t="s">
        <v>253</v>
      </c>
      <c r="L327" s="45">
        <f t="shared" si="26"/>
        <v>58.374384236453203</v>
      </c>
      <c r="M327" s="45" t="s">
        <v>253</v>
      </c>
      <c r="N327" s="45">
        <v>47.4</v>
      </c>
      <c r="O327" s="45" t="s">
        <v>253</v>
      </c>
      <c r="P327" s="19" t="s">
        <v>765</v>
      </c>
      <c r="Q327" s="63"/>
    </row>
    <row r="328" spans="1:17" ht="15">
      <c r="I328" s="47" t="s">
        <v>594</v>
      </c>
      <c r="J328" s="51">
        <f>ROUND(AVERAGE(J318,J323),1)</f>
        <v>9.8000000000000007</v>
      </c>
      <c r="K328" s="51" t="s">
        <v>253</v>
      </c>
      <c r="L328" s="51">
        <f>ROUND(AVERAGE(L318,L323),1)</f>
        <v>80.900000000000006</v>
      </c>
      <c r="M328" s="51" t="s">
        <v>253</v>
      </c>
      <c r="N328" s="51">
        <f>ROUND(AVERAGE(N318,N323),1)</f>
        <v>8</v>
      </c>
      <c r="O328" s="52" t="s">
        <v>253</v>
      </c>
    </row>
    <row r="329" spans="1:17" ht="15">
      <c r="I329" s="48" t="s">
        <v>1189</v>
      </c>
      <c r="J329" s="53">
        <f t="shared" ref="J329:J332" si="27">ROUND(AVERAGE(J319,J324),1)</f>
        <v>0.1</v>
      </c>
      <c r="K329" s="53" t="s">
        <v>253</v>
      </c>
      <c r="L329" s="53">
        <f t="shared" ref="L329:L332" si="28">ROUND(AVERAGE(L319,L324),1)</f>
        <v>100</v>
      </c>
      <c r="M329" s="53" t="s">
        <v>253</v>
      </c>
      <c r="N329" s="53">
        <f t="shared" ref="N329:N332" si="29">ROUND(AVERAGE(N319,N324),1)</f>
        <v>0.1</v>
      </c>
      <c r="O329" s="54" t="s">
        <v>253</v>
      </c>
    </row>
    <row r="330" spans="1:17" ht="15">
      <c r="I330" s="48" t="s">
        <v>959</v>
      </c>
      <c r="J330" s="53">
        <f t="shared" si="27"/>
        <v>9.9</v>
      </c>
      <c r="K330" s="53" t="s">
        <v>253</v>
      </c>
      <c r="L330" s="53">
        <f t="shared" si="28"/>
        <v>81.2</v>
      </c>
      <c r="M330" s="53" t="s">
        <v>253</v>
      </c>
      <c r="N330" s="53">
        <f t="shared" si="29"/>
        <v>8.1</v>
      </c>
      <c r="O330" s="54" t="s">
        <v>253</v>
      </c>
    </row>
    <row r="331" spans="1:17" ht="15">
      <c r="I331" s="48" t="s">
        <v>486</v>
      </c>
      <c r="J331" s="53">
        <f t="shared" si="27"/>
        <v>74.5</v>
      </c>
      <c r="K331" s="53" t="s">
        <v>253</v>
      </c>
      <c r="L331" s="53">
        <f t="shared" si="28"/>
        <v>58.2</v>
      </c>
      <c r="M331" s="53" t="s">
        <v>253</v>
      </c>
      <c r="N331" s="53">
        <f t="shared" si="29"/>
        <v>43.4</v>
      </c>
      <c r="O331" s="54" t="s">
        <v>253</v>
      </c>
    </row>
    <row r="332" spans="1:17" ht="16" thickBot="1">
      <c r="I332" s="49" t="s">
        <v>485</v>
      </c>
      <c r="J332" s="55">
        <f t="shared" si="27"/>
        <v>84.3</v>
      </c>
      <c r="K332" s="55" t="s">
        <v>253</v>
      </c>
      <c r="L332" s="55">
        <f t="shared" si="28"/>
        <v>60.9</v>
      </c>
      <c r="M332" s="55" t="s">
        <v>253</v>
      </c>
      <c r="N332" s="55">
        <f t="shared" si="29"/>
        <v>51.4</v>
      </c>
      <c r="O332" s="56" t="s">
        <v>253</v>
      </c>
    </row>
    <row r="333" spans="1:17" s="58" customFormat="1" ht="15">
      <c r="I333" s="57"/>
      <c r="J333" s="3"/>
      <c r="K333" s="3"/>
      <c r="L333" s="3"/>
      <c r="M333" s="3"/>
      <c r="N333" s="3"/>
      <c r="O333" s="3"/>
    </row>
    <row r="334" spans="1:17" s="26" customFormat="1" ht="15">
      <c r="A334" s="19" t="s">
        <v>591</v>
      </c>
      <c r="B334" s="29" t="s">
        <v>766</v>
      </c>
      <c r="C334" s="29" t="s">
        <v>767</v>
      </c>
      <c r="D334" s="19" t="s">
        <v>768</v>
      </c>
      <c r="E334" s="19">
        <v>1992</v>
      </c>
      <c r="F334" s="19">
        <v>6</v>
      </c>
      <c r="G334" s="19">
        <v>23</v>
      </c>
      <c r="H334" s="28" t="s">
        <v>1047</v>
      </c>
      <c r="I334" s="82" t="s">
        <v>594</v>
      </c>
      <c r="J334" s="75">
        <v>2.7</v>
      </c>
      <c r="K334" s="76" t="s">
        <v>253</v>
      </c>
      <c r="L334" s="76">
        <f>(N334/J334)*100</f>
        <v>81.481481481481495</v>
      </c>
      <c r="M334" s="76" t="s">
        <v>253</v>
      </c>
      <c r="N334" s="76">
        <v>2.2000000000000002</v>
      </c>
      <c r="O334" s="76" t="s">
        <v>253</v>
      </c>
      <c r="P334" s="30" t="s">
        <v>769</v>
      </c>
      <c r="Q334" s="63"/>
    </row>
    <row r="335" spans="1:17" s="26" customFormat="1" ht="15">
      <c r="A335" s="19" t="s">
        <v>1167</v>
      </c>
      <c r="B335" s="29" t="s">
        <v>766</v>
      </c>
      <c r="C335" s="29" t="s">
        <v>767</v>
      </c>
      <c r="D335" s="19" t="s">
        <v>768</v>
      </c>
      <c r="E335" s="19">
        <v>1992</v>
      </c>
      <c r="F335" s="19">
        <v>6</v>
      </c>
      <c r="G335" s="19">
        <v>23</v>
      </c>
      <c r="H335" s="28" t="s">
        <v>1047</v>
      </c>
      <c r="I335" s="82" t="s">
        <v>1189</v>
      </c>
      <c r="J335" s="76">
        <v>8.3000000000000007</v>
      </c>
      <c r="K335" s="76" t="s">
        <v>253</v>
      </c>
      <c r="L335" s="76">
        <f t="shared" ref="L335:L358" si="30">(N335/J335)*100</f>
        <v>13.253012048192772</v>
      </c>
      <c r="M335" s="76" t="s">
        <v>253</v>
      </c>
      <c r="N335" s="76">
        <v>1.1000000000000001</v>
      </c>
      <c r="O335" s="76" t="s">
        <v>253</v>
      </c>
      <c r="P335" s="30" t="s">
        <v>769</v>
      </c>
      <c r="Q335" s="63"/>
    </row>
    <row r="336" spans="1:17" s="26" customFormat="1" ht="15">
      <c r="A336" s="19" t="s">
        <v>1167</v>
      </c>
      <c r="B336" s="29" t="s">
        <v>766</v>
      </c>
      <c r="C336" s="29" t="s">
        <v>767</v>
      </c>
      <c r="D336" s="19" t="s">
        <v>768</v>
      </c>
      <c r="E336" s="19">
        <v>1992</v>
      </c>
      <c r="F336" s="19">
        <v>6</v>
      </c>
      <c r="G336" s="19">
        <v>23</v>
      </c>
      <c r="H336" s="28" t="s">
        <v>1047</v>
      </c>
      <c r="I336" s="82" t="s">
        <v>959</v>
      </c>
      <c r="J336" s="76">
        <v>11</v>
      </c>
      <c r="K336" s="76" t="s">
        <v>253</v>
      </c>
      <c r="L336" s="76">
        <f t="shared" si="30"/>
        <v>30.909090909090907</v>
      </c>
      <c r="M336" s="76" t="s">
        <v>253</v>
      </c>
      <c r="N336" s="76">
        <v>3.4</v>
      </c>
      <c r="O336" s="76" t="s">
        <v>253</v>
      </c>
      <c r="P336" s="30" t="s">
        <v>769</v>
      </c>
      <c r="Q336" s="63"/>
    </row>
    <row r="337" spans="1:17" s="26" customFormat="1" ht="15">
      <c r="A337" s="19" t="s">
        <v>1167</v>
      </c>
      <c r="B337" s="29" t="s">
        <v>766</v>
      </c>
      <c r="C337" s="29" t="s">
        <v>767</v>
      </c>
      <c r="D337" s="19" t="s">
        <v>768</v>
      </c>
      <c r="E337" s="19">
        <v>1992</v>
      </c>
      <c r="F337" s="19">
        <v>6</v>
      </c>
      <c r="G337" s="19">
        <v>23</v>
      </c>
      <c r="H337" s="28" t="s">
        <v>1047</v>
      </c>
      <c r="I337" s="82" t="s">
        <v>486</v>
      </c>
      <c r="J337" s="76">
        <v>67.5</v>
      </c>
      <c r="K337" s="76" t="s">
        <v>253</v>
      </c>
      <c r="L337" s="76">
        <f t="shared" si="30"/>
        <v>21.037037037037035</v>
      </c>
      <c r="M337" s="76" t="s">
        <v>253</v>
      </c>
      <c r="N337" s="76">
        <v>14.2</v>
      </c>
      <c r="O337" s="76" t="s">
        <v>253</v>
      </c>
      <c r="P337" s="30" t="s">
        <v>769</v>
      </c>
      <c r="Q337" s="63"/>
    </row>
    <row r="338" spans="1:17" s="26" customFormat="1" ht="15">
      <c r="A338" s="19" t="s">
        <v>1167</v>
      </c>
      <c r="B338" s="29" t="s">
        <v>766</v>
      </c>
      <c r="C338" s="29" t="s">
        <v>767</v>
      </c>
      <c r="D338" s="19" t="s">
        <v>768</v>
      </c>
      <c r="E338" s="19">
        <v>1992</v>
      </c>
      <c r="F338" s="19">
        <v>6</v>
      </c>
      <c r="G338" s="19">
        <v>23</v>
      </c>
      <c r="H338" s="28" t="s">
        <v>1047</v>
      </c>
      <c r="I338" s="82" t="s">
        <v>485</v>
      </c>
      <c r="J338" s="76">
        <v>78.5</v>
      </c>
      <c r="K338" s="76" t="s">
        <v>253</v>
      </c>
      <c r="L338" s="76">
        <f t="shared" si="30"/>
        <v>22.420382165605098</v>
      </c>
      <c r="M338" s="76" t="s">
        <v>253</v>
      </c>
      <c r="N338" s="76">
        <v>17.600000000000001</v>
      </c>
      <c r="O338" s="76" t="s">
        <v>253</v>
      </c>
      <c r="P338" s="30" t="s">
        <v>769</v>
      </c>
      <c r="Q338" s="63"/>
    </row>
    <row r="339" spans="1:17" s="26" customFormat="1" ht="15">
      <c r="A339" s="19" t="s">
        <v>591</v>
      </c>
      <c r="B339" s="29" t="s">
        <v>766</v>
      </c>
      <c r="C339" s="29" t="s">
        <v>767</v>
      </c>
      <c r="D339" s="19" t="s">
        <v>768</v>
      </c>
      <c r="E339" s="19">
        <v>1992</v>
      </c>
      <c r="F339" s="19">
        <v>6</v>
      </c>
      <c r="G339" s="19">
        <v>24</v>
      </c>
      <c r="H339" s="28" t="s">
        <v>1047</v>
      </c>
      <c r="I339" s="82" t="s">
        <v>594</v>
      </c>
      <c r="J339" s="76">
        <v>2</v>
      </c>
      <c r="K339" s="76" t="s">
        <v>253</v>
      </c>
      <c r="L339" s="76">
        <f t="shared" si="30"/>
        <v>55.000000000000007</v>
      </c>
      <c r="M339" s="76" t="s">
        <v>253</v>
      </c>
      <c r="N339" s="76">
        <v>1.1000000000000001</v>
      </c>
      <c r="O339" s="76" t="s">
        <v>253</v>
      </c>
      <c r="P339" s="30" t="s">
        <v>763</v>
      </c>
      <c r="Q339" s="63"/>
    </row>
    <row r="340" spans="1:17" s="26" customFormat="1" ht="15">
      <c r="A340" s="19" t="s">
        <v>1167</v>
      </c>
      <c r="B340" s="29" t="s">
        <v>766</v>
      </c>
      <c r="C340" s="29" t="s">
        <v>767</v>
      </c>
      <c r="D340" s="19" t="s">
        <v>768</v>
      </c>
      <c r="E340" s="19">
        <v>1992</v>
      </c>
      <c r="F340" s="19">
        <v>6</v>
      </c>
      <c r="G340" s="19">
        <v>24</v>
      </c>
      <c r="H340" s="28" t="s">
        <v>1047</v>
      </c>
      <c r="I340" s="82" t="s">
        <v>1189</v>
      </c>
      <c r="J340" s="76">
        <v>5.4</v>
      </c>
      <c r="K340" s="76" t="s">
        <v>253</v>
      </c>
      <c r="L340" s="76">
        <f t="shared" si="30"/>
        <v>16.666666666666664</v>
      </c>
      <c r="M340" s="76" t="s">
        <v>253</v>
      </c>
      <c r="N340" s="76">
        <v>0.9</v>
      </c>
      <c r="O340" s="76" t="s">
        <v>253</v>
      </c>
      <c r="P340" s="30" t="s">
        <v>763</v>
      </c>
      <c r="Q340" s="63"/>
    </row>
    <row r="341" spans="1:17" s="26" customFormat="1" ht="15">
      <c r="A341" s="19" t="s">
        <v>1167</v>
      </c>
      <c r="B341" s="29" t="s">
        <v>766</v>
      </c>
      <c r="C341" s="29" t="s">
        <v>767</v>
      </c>
      <c r="D341" s="19" t="s">
        <v>768</v>
      </c>
      <c r="E341" s="19">
        <v>1992</v>
      </c>
      <c r="F341" s="19">
        <v>6</v>
      </c>
      <c r="G341" s="19">
        <v>24</v>
      </c>
      <c r="H341" s="28" t="s">
        <v>1047</v>
      </c>
      <c r="I341" s="82" t="s">
        <v>959</v>
      </c>
      <c r="J341" s="76">
        <v>7.4</v>
      </c>
      <c r="K341" s="76" t="s">
        <v>253</v>
      </c>
      <c r="L341" s="76">
        <f t="shared" si="30"/>
        <v>27.027027027027025</v>
      </c>
      <c r="M341" s="76" t="s">
        <v>253</v>
      </c>
      <c r="N341" s="76">
        <v>2</v>
      </c>
      <c r="O341" s="76" t="s">
        <v>253</v>
      </c>
      <c r="P341" s="30" t="s">
        <v>763</v>
      </c>
      <c r="Q341" s="63"/>
    </row>
    <row r="342" spans="1:17" s="26" customFormat="1" ht="15">
      <c r="A342" s="19" t="s">
        <v>1167</v>
      </c>
      <c r="B342" s="29" t="s">
        <v>766</v>
      </c>
      <c r="C342" s="29" t="s">
        <v>767</v>
      </c>
      <c r="D342" s="19" t="s">
        <v>768</v>
      </c>
      <c r="E342" s="19">
        <v>1992</v>
      </c>
      <c r="F342" s="19">
        <v>6</v>
      </c>
      <c r="G342" s="19">
        <v>24</v>
      </c>
      <c r="H342" s="28" t="s">
        <v>1047</v>
      </c>
      <c r="I342" s="82" t="s">
        <v>486</v>
      </c>
      <c r="J342" s="76">
        <v>100.5</v>
      </c>
      <c r="K342" s="76" t="s">
        <v>253</v>
      </c>
      <c r="L342" s="76">
        <f t="shared" si="30"/>
        <v>37.810945273631837</v>
      </c>
      <c r="M342" s="76" t="s">
        <v>253</v>
      </c>
      <c r="N342" s="76">
        <v>38</v>
      </c>
      <c r="O342" s="76" t="s">
        <v>253</v>
      </c>
      <c r="P342" s="30" t="s">
        <v>763</v>
      </c>
      <c r="Q342" s="63"/>
    </row>
    <row r="343" spans="1:17" s="26" customFormat="1" ht="15">
      <c r="A343" s="19" t="s">
        <v>1167</v>
      </c>
      <c r="B343" s="29" t="s">
        <v>766</v>
      </c>
      <c r="C343" s="29" t="s">
        <v>767</v>
      </c>
      <c r="D343" s="19" t="s">
        <v>768</v>
      </c>
      <c r="E343" s="19">
        <v>1992</v>
      </c>
      <c r="F343" s="19">
        <v>6</v>
      </c>
      <c r="G343" s="19">
        <v>24</v>
      </c>
      <c r="H343" s="28" t="s">
        <v>1047</v>
      </c>
      <c r="I343" s="82" t="s">
        <v>485</v>
      </c>
      <c r="J343" s="76">
        <v>107.9</v>
      </c>
      <c r="K343" s="76" t="s">
        <v>253</v>
      </c>
      <c r="L343" s="76">
        <f t="shared" si="30"/>
        <v>37.071362372567194</v>
      </c>
      <c r="M343" s="76" t="s">
        <v>253</v>
      </c>
      <c r="N343" s="76">
        <v>40</v>
      </c>
      <c r="O343" s="76" t="s">
        <v>253</v>
      </c>
      <c r="P343" s="30" t="s">
        <v>763</v>
      </c>
      <c r="Q343" s="63"/>
    </row>
    <row r="344" spans="1:17" s="26" customFormat="1" ht="15">
      <c r="A344" s="19" t="s">
        <v>591</v>
      </c>
      <c r="B344" s="29" t="s">
        <v>766</v>
      </c>
      <c r="C344" s="29" t="s">
        <v>767</v>
      </c>
      <c r="D344" s="19" t="s">
        <v>768</v>
      </c>
      <c r="E344" s="19">
        <v>1992</v>
      </c>
      <c r="F344" s="19">
        <v>6</v>
      </c>
      <c r="G344" s="19">
        <v>24</v>
      </c>
      <c r="H344" s="28" t="s">
        <v>1047</v>
      </c>
      <c r="I344" s="82" t="s">
        <v>594</v>
      </c>
      <c r="J344" s="76">
        <v>2.2000000000000002</v>
      </c>
      <c r="K344" s="76" t="s">
        <v>253</v>
      </c>
      <c r="L344" s="76">
        <f t="shared" si="30"/>
        <v>100</v>
      </c>
      <c r="M344" s="76" t="s">
        <v>253</v>
      </c>
      <c r="N344" s="76">
        <v>2.2000000000000002</v>
      </c>
      <c r="O344" s="76" t="s">
        <v>253</v>
      </c>
      <c r="P344" s="30" t="s">
        <v>771</v>
      </c>
      <c r="Q344" s="63"/>
    </row>
    <row r="345" spans="1:17" s="26" customFormat="1" ht="15">
      <c r="A345" s="19" t="s">
        <v>1167</v>
      </c>
      <c r="B345" s="29" t="s">
        <v>766</v>
      </c>
      <c r="C345" s="29" t="s">
        <v>767</v>
      </c>
      <c r="D345" s="19" t="s">
        <v>768</v>
      </c>
      <c r="E345" s="19">
        <v>1992</v>
      </c>
      <c r="F345" s="19">
        <v>6</v>
      </c>
      <c r="G345" s="19">
        <v>24</v>
      </c>
      <c r="H345" s="28" t="s">
        <v>1047</v>
      </c>
      <c r="I345" s="82" t="s">
        <v>1189</v>
      </c>
      <c r="J345" s="76">
        <v>4.9000000000000004</v>
      </c>
      <c r="K345" s="76" t="s">
        <v>253</v>
      </c>
      <c r="L345" s="76">
        <f t="shared" si="30"/>
        <v>18.367346938775508</v>
      </c>
      <c r="M345" s="76" t="s">
        <v>253</v>
      </c>
      <c r="N345" s="76">
        <v>0.9</v>
      </c>
      <c r="O345" s="76" t="s">
        <v>253</v>
      </c>
      <c r="P345" s="30" t="s">
        <v>771</v>
      </c>
      <c r="Q345" s="63"/>
    </row>
    <row r="346" spans="1:17" s="26" customFormat="1" ht="15">
      <c r="A346" s="19" t="s">
        <v>1167</v>
      </c>
      <c r="B346" s="29" t="s">
        <v>766</v>
      </c>
      <c r="C346" s="29" t="s">
        <v>767</v>
      </c>
      <c r="D346" s="19" t="s">
        <v>768</v>
      </c>
      <c r="E346" s="19">
        <v>1992</v>
      </c>
      <c r="F346" s="19">
        <v>6</v>
      </c>
      <c r="G346" s="19">
        <v>24</v>
      </c>
      <c r="H346" s="28" t="s">
        <v>1047</v>
      </c>
      <c r="I346" s="82" t="s">
        <v>772</v>
      </c>
      <c r="J346" s="76">
        <v>7.2</v>
      </c>
      <c r="K346" s="76" t="s">
        <v>253</v>
      </c>
      <c r="L346" s="76">
        <f t="shared" si="30"/>
        <v>43.055555555555557</v>
      </c>
      <c r="M346" s="76" t="s">
        <v>253</v>
      </c>
      <c r="N346" s="76">
        <v>3.1</v>
      </c>
      <c r="O346" s="76" t="s">
        <v>253</v>
      </c>
      <c r="P346" s="30" t="s">
        <v>771</v>
      </c>
      <c r="Q346" s="63"/>
    </row>
    <row r="347" spans="1:17" s="26" customFormat="1" ht="15">
      <c r="A347" s="19" t="s">
        <v>1167</v>
      </c>
      <c r="B347" s="29" t="s">
        <v>766</v>
      </c>
      <c r="C347" s="29" t="s">
        <v>767</v>
      </c>
      <c r="D347" s="19" t="s">
        <v>768</v>
      </c>
      <c r="E347" s="19">
        <v>1992</v>
      </c>
      <c r="F347" s="19">
        <v>6</v>
      </c>
      <c r="G347" s="19">
        <v>24</v>
      </c>
      <c r="H347" s="28" t="s">
        <v>1047</v>
      </c>
      <c r="I347" s="82" t="s">
        <v>486</v>
      </c>
      <c r="J347" s="76">
        <v>115.7</v>
      </c>
      <c r="K347" s="76" t="s">
        <v>253</v>
      </c>
      <c r="L347" s="76">
        <f t="shared" si="30"/>
        <v>53.846153846153847</v>
      </c>
      <c r="M347" s="76" t="s">
        <v>253</v>
      </c>
      <c r="N347" s="76">
        <v>62.3</v>
      </c>
      <c r="O347" s="76" t="s">
        <v>253</v>
      </c>
      <c r="P347" s="30" t="s">
        <v>771</v>
      </c>
      <c r="Q347" s="63"/>
    </row>
    <row r="348" spans="1:17" s="26" customFormat="1" ht="15">
      <c r="A348" s="19" t="s">
        <v>1167</v>
      </c>
      <c r="B348" s="29" t="s">
        <v>766</v>
      </c>
      <c r="C348" s="29" t="s">
        <v>767</v>
      </c>
      <c r="D348" s="19" t="s">
        <v>768</v>
      </c>
      <c r="E348" s="19">
        <v>1992</v>
      </c>
      <c r="F348" s="19">
        <v>6</v>
      </c>
      <c r="G348" s="19">
        <v>24</v>
      </c>
      <c r="H348" s="28" t="s">
        <v>1047</v>
      </c>
      <c r="I348" s="82" t="s">
        <v>485</v>
      </c>
      <c r="J348" s="76">
        <v>122.9</v>
      </c>
      <c r="K348" s="76" t="s">
        <v>253</v>
      </c>
      <c r="L348" s="76">
        <f t="shared" si="30"/>
        <v>53.213995117982108</v>
      </c>
      <c r="M348" s="76" t="s">
        <v>253</v>
      </c>
      <c r="N348" s="76">
        <v>65.400000000000006</v>
      </c>
      <c r="O348" s="76" t="s">
        <v>253</v>
      </c>
      <c r="P348" s="30" t="s">
        <v>771</v>
      </c>
      <c r="Q348" s="63"/>
    </row>
    <row r="349" spans="1:17" s="26" customFormat="1" ht="15">
      <c r="A349" s="19" t="s">
        <v>591</v>
      </c>
      <c r="B349" s="29" t="s">
        <v>766</v>
      </c>
      <c r="C349" s="29" t="s">
        <v>767</v>
      </c>
      <c r="D349" s="19" t="s">
        <v>768</v>
      </c>
      <c r="E349" s="19">
        <v>1992</v>
      </c>
      <c r="F349" s="19">
        <v>6</v>
      </c>
      <c r="G349" s="19">
        <v>23</v>
      </c>
      <c r="H349" s="28" t="s">
        <v>1047</v>
      </c>
      <c r="I349" s="82" t="s">
        <v>594</v>
      </c>
      <c r="J349" s="76">
        <v>1.6</v>
      </c>
      <c r="K349" s="76" t="s">
        <v>253</v>
      </c>
      <c r="L349" s="76">
        <f t="shared" si="30"/>
        <v>100</v>
      </c>
      <c r="M349" s="76" t="s">
        <v>253</v>
      </c>
      <c r="N349" s="76">
        <v>1.6</v>
      </c>
      <c r="O349" s="76" t="s">
        <v>253</v>
      </c>
      <c r="P349" s="30" t="s">
        <v>773</v>
      </c>
      <c r="Q349" s="63"/>
    </row>
    <row r="350" spans="1:17" s="26" customFormat="1" ht="15">
      <c r="A350" s="19" t="s">
        <v>1167</v>
      </c>
      <c r="B350" s="29" t="s">
        <v>766</v>
      </c>
      <c r="C350" s="29" t="s">
        <v>767</v>
      </c>
      <c r="D350" s="19" t="s">
        <v>768</v>
      </c>
      <c r="E350" s="19">
        <v>1992</v>
      </c>
      <c r="F350" s="19">
        <v>6</v>
      </c>
      <c r="G350" s="19">
        <v>23</v>
      </c>
      <c r="H350" s="28" t="s">
        <v>1047</v>
      </c>
      <c r="I350" s="82" t="s">
        <v>1189</v>
      </c>
      <c r="J350" s="76">
        <v>4</v>
      </c>
      <c r="K350" s="76" t="s">
        <v>253</v>
      </c>
      <c r="L350" s="76">
        <f t="shared" si="30"/>
        <v>17.5</v>
      </c>
      <c r="M350" s="76" t="s">
        <v>253</v>
      </c>
      <c r="N350" s="76">
        <v>0.7</v>
      </c>
      <c r="O350" s="76" t="s">
        <v>253</v>
      </c>
      <c r="P350" s="30" t="s">
        <v>773</v>
      </c>
      <c r="Q350" s="63"/>
    </row>
    <row r="351" spans="1:17" s="26" customFormat="1" ht="15">
      <c r="A351" s="19" t="s">
        <v>1167</v>
      </c>
      <c r="B351" s="29" t="s">
        <v>766</v>
      </c>
      <c r="C351" s="29" t="s">
        <v>767</v>
      </c>
      <c r="D351" s="19" t="s">
        <v>768</v>
      </c>
      <c r="E351" s="19">
        <v>1992</v>
      </c>
      <c r="F351" s="19">
        <v>6</v>
      </c>
      <c r="G351" s="19">
        <v>23</v>
      </c>
      <c r="H351" s="28" t="s">
        <v>1047</v>
      </c>
      <c r="I351" s="82" t="s">
        <v>959</v>
      </c>
      <c r="J351" s="76">
        <v>5.6</v>
      </c>
      <c r="K351" s="76" t="s">
        <v>253</v>
      </c>
      <c r="L351" s="76">
        <f t="shared" si="30"/>
        <v>39.285714285714292</v>
      </c>
      <c r="M351" s="76" t="s">
        <v>253</v>
      </c>
      <c r="N351" s="76">
        <v>2.2000000000000002</v>
      </c>
      <c r="O351" s="76" t="s">
        <v>253</v>
      </c>
      <c r="P351" s="30" t="s">
        <v>773</v>
      </c>
      <c r="Q351" s="63"/>
    </row>
    <row r="352" spans="1:17" s="26" customFormat="1" ht="15">
      <c r="A352" s="19" t="s">
        <v>1167</v>
      </c>
      <c r="B352" s="29" t="s">
        <v>766</v>
      </c>
      <c r="C352" s="29" t="s">
        <v>767</v>
      </c>
      <c r="D352" s="19" t="s">
        <v>768</v>
      </c>
      <c r="E352" s="19">
        <v>1992</v>
      </c>
      <c r="F352" s="19">
        <v>6</v>
      </c>
      <c r="G352" s="19">
        <v>23</v>
      </c>
      <c r="H352" s="28" t="s">
        <v>1047</v>
      </c>
      <c r="I352" s="82" t="s">
        <v>486</v>
      </c>
      <c r="J352" s="76">
        <v>102</v>
      </c>
      <c r="K352" s="76" t="s">
        <v>253</v>
      </c>
      <c r="L352" s="76">
        <f t="shared" si="30"/>
        <v>53.529411764705884</v>
      </c>
      <c r="M352" s="76" t="s">
        <v>253</v>
      </c>
      <c r="N352" s="76">
        <v>54.6</v>
      </c>
      <c r="O352" s="76" t="s">
        <v>253</v>
      </c>
      <c r="P352" s="30" t="s">
        <v>773</v>
      </c>
      <c r="Q352" s="63"/>
    </row>
    <row r="353" spans="1:17" s="26" customFormat="1" ht="15">
      <c r="A353" s="19" t="s">
        <v>1167</v>
      </c>
      <c r="B353" s="29" t="s">
        <v>766</v>
      </c>
      <c r="C353" s="29" t="s">
        <v>767</v>
      </c>
      <c r="D353" s="19" t="s">
        <v>768</v>
      </c>
      <c r="E353" s="19">
        <v>1992</v>
      </c>
      <c r="F353" s="19">
        <v>6</v>
      </c>
      <c r="G353" s="19">
        <v>23</v>
      </c>
      <c r="H353" s="28" t="s">
        <v>1047</v>
      </c>
      <c r="I353" s="82" t="s">
        <v>485</v>
      </c>
      <c r="J353" s="76">
        <v>107.6</v>
      </c>
      <c r="K353" s="76" t="s">
        <v>253</v>
      </c>
      <c r="L353" s="76">
        <f t="shared" si="30"/>
        <v>52.788104089219331</v>
      </c>
      <c r="M353" s="76" t="s">
        <v>253</v>
      </c>
      <c r="N353" s="76">
        <v>56.8</v>
      </c>
      <c r="O353" s="76" t="s">
        <v>253</v>
      </c>
      <c r="P353" s="30" t="s">
        <v>773</v>
      </c>
      <c r="Q353" s="63"/>
    </row>
    <row r="354" spans="1:17" s="26" customFormat="1" ht="15">
      <c r="A354" s="19" t="s">
        <v>591</v>
      </c>
      <c r="B354" s="29" t="s">
        <v>766</v>
      </c>
      <c r="C354" s="29" t="s">
        <v>767</v>
      </c>
      <c r="D354" s="19" t="s">
        <v>768</v>
      </c>
      <c r="E354" s="19">
        <v>1992</v>
      </c>
      <c r="F354" s="19">
        <v>6</v>
      </c>
      <c r="G354" s="19">
        <v>23</v>
      </c>
      <c r="H354" s="28" t="s">
        <v>1047</v>
      </c>
      <c r="I354" s="82" t="s">
        <v>594</v>
      </c>
      <c r="J354" s="76">
        <v>2.2000000000000002</v>
      </c>
      <c r="K354" s="76" t="s">
        <v>253</v>
      </c>
      <c r="L354" s="76">
        <f t="shared" si="30"/>
        <v>100</v>
      </c>
      <c r="M354" s="76" t="s">
        <v>253</v>
      </c>
      <c r="N354" s="76">
        <v>2.2000000000000002</v>
      </c>
      <c r="O354" s="76" t="s">
        <v>253</v>
      </c>
      <c r="P354" s="30" t="s">
        <v>774</v>
      </c>
      <c r="Q354" s="63"/>
    </row>
    <row r="355" spans="1:17" s="26" customFormat="1" ht="15">
      <c r="A355" s="19" t="s">
        <v>1167</v>
      </c>
      <c r="B355" s="29" t="s">
        <v>766</v>
      </c>
      <c r="C355" s="29" t="s">
        <v>767</v>
      </c>
      <c r="D355" s="19" t="s">
        <v>768</v>
      </c>
      <c r="E355" s="19">
        <v>1992</v>
      </c>
      <c r="F355" s="19">
        <v>6</v>
      </c>
      <c r="G355" s="19">
        <v>23</v>
      </c>
      <c r="H355" s="28" t="s">
        <v>1047</v>
      </c>
      <c r="I355" s="82" t="s">
        <v>1189</v>
      </c>
      <c r="J355" s="76">
        <v>10.8</v>
      </c>
      <c r="K355" s="76" t="s">
        <v>253</v>
      </c>
      <c r="L355" s="76">
        <f t="shared" si="30"/>
        <v>3.7037037037037033</v>
      </c>
      <c r="M355" s="76" t="s">
        <v>253</v>
      </c>
      <c r="N355" s="76">
        <v>0.4</v>
      </c>
      <c r="O355" s="76" t="s">
        <v>253</v>
      </c>
      <c r="P355" s="30" t="s">
        <v>774</v>
      </c>
      <c r="Q355" s="63"/>
    </row>
    <row r="356" spans="1:17" s="26" customFormat="1" ht="15">
      <c r="A356" s="19" t="s">
        <v>1167</v>
      </c>
      <c r="B356" s="29" t="s">
        <v>766</v>
      </c>
      <c r="C356" s="29" t="s">
        <v>767</v>
      </c>
      <c r="D356" s="19" t="s">
        <v>768</v>
      </c>
      <c r="E356" s="19">
        <v>1992</v>
      </c>
      <c r="F356" s="19">
        <v>6</v>
      </c>
      <c r="G356" s="19">
        <v>23</v>
      </c>
      <c r="H356" s="28" t="s">
        <v>1047</v>
      </c>
      <c r="I356" s="82" t="s">
        <v>959</v>
      </c>
      <c r="J356" s="76">
        <v>13</v>
      </c>
      <c r="K356" s="76" t="s">
        <v>253</v>
      </c>
      <c r="L356" s="76">
        <f t="shared" si="30"/>
        <v>20.76923076923077</v>
      </c>
      <c r="M356" s="76" t="s">
        <v>253</v>
      </c>
      <c r="N356" s="76">
        <v>2.7</v>
      </c>
      <c r="O356" s="76" t="s">
        <v>253</v>
      </c>
      <c r="P356" s="30" t="s">
        <v>774</v>
      </c>
      <c r="Q356" s="63"/>
    </row>
    <row r="357" spans="1:17" s="26" customFormat="1" ht="15">
      <c r="A357" s="19" t="s">
        <v>1167</v>
      </c>
      <c r="B357" s="29" t="s">
        <v>766</v>
      </c>
      <c r="C357" s="29" t="s">
        <v>767</v>
      </c>
      <c r="D357" s="19" t="s">
        <v>768</v>
      </c>
      <c r="E357" s="19">
        <v>1992</v>
      </c>
      <c r="F357" s="19">
        <v>6</v>
      </c>
      <c r="G357" s="19">
        <v>23</v>
      </c>
      <c r="H357" s="28" t="s">
        <v>1047</v>
      </c>
      <c r="I357" s="82" t="s">
        <v>486</v>
      </c>
      <c r="J357" s="76">
        <v>94.4</v>
      </c>
      <c r="K357" s="76" t="s">
        <v>253</v>
      </c>
      <c r="L357" s="76">
        <f t="shared" si="30"/>
        <v>65.042372881355931</v>
      </c>
      <c r="M357" s="76" t="s">
        <v>253</v>
      </c>
      <c r="N357" s="76">
        <v>61.4</v>
      </c>
      <c r="O357" s="76" t="s">
        <v>253</v>
      </c>
      <c r="P357" s="30" t="s">
        <v>774</v>
      </c>
      <c r="Q357" s="63"/>
    </row>
    <row r="358" spans="1:17" s="26" customFormat="1" ht="16" thickBot="1">
      <c r="A358" s="19" t="s">
        <v>1167</v>
      </c>
      <c r="B358" s="29" t="s">
        <v>766</v>
      </c>
      <c r="C358" s="29" t="s">
        <v>767</v>
      </c>
      <c r="D358" s="19" t="s">
        <v>768</v>
      </c>
      <c r="E358" s="19">
        <v>1992</v>
      </c>
      <c r="F358" s="19">
        <v>6</v>
      </c>
      <c r="G358" s="19">
        <v>23</v>
      </c>
      <c r="H358" s="28" t="s">
        <v>1047</v>
      </c>
      <c r="I358" s="92" t="s">
        <v>485</v>
      </c>
      <c r="J358" s="77">
        <v>107.4</v>
      </c>
      <c r="K358" s="77" t="s">
        <v>1046</v>
      </c>
      <c r="L358" s="77">
        <f t="shared" si="30"/>
        <v>59.683426443202968</v>
      </c>
      <c r="M358" s="77" t="s">
        <v>1046</v>
      </c>
      <c r="N358" s="77">
        <v>64.099999999999994</v>
      </c>
      <c r="O358" s="77" t="s">
        <v>1046</v>
      </c>
      <c r="P358" s="30" t="s">
        <v>774</v>
      </c>
      <c r="Q358" s="63"/>
    </row>
    <row r="359" spans="1:17" s="1" customFormat="1" ht="15">
      <c r="A359" s="3"/>
      <c r="B359" s="5"/>
      <c r="C359" s="5"/>
      <c r="D359" s="3"/>
      <c r="E359" s="3"/>
      <c r="F359" s="3"/>
      <c r="G359" s="3"/>
      <c r="H359" s="57"/>
      <c r="I359" s="47" t="s">
        <v>594</v>
      </c>
      <c r="J359" s="51">
        <f>ROUND(AVERAGE(J334,J339,J344,J349,J354),1)</f>
        <v>2.1</v>
      </c>
      <c r="K359" s="51">
        <f>ROUND(STDEV(J334,J339,J344,J349,J354),1)</f>
        <v>0.4</v>
      </c>
      <c r="L359" s="51">
        <f>ROUND(AVERAGE(L334,L339,L344,L349,L354),1)</f>
        <v>87.3</v>
      </c>
      <c r="M359" s="51">
        <f>ROUND(STDEV(L334,L339,L344,L349,L354),1)</f>
        <v>19.8</v>
      </c>
      <c r="N359" s="51">
        <f>ROUND(AVERAGE(N334,N339,N344,N349,N354),1)</f>
        <v>1.9</v>
      </c>
      <c r="O359" s="52">
        <f>ROUND(STDEV(N334,N339,N344,N349,N354),1)</f>
        <v>0.5</v>
      </c>
      <c r="P359" s="3"/>
      <c r="Q359" s="64"/>
    </row>
    <row r="360" spans="1:17" s="1" customFormat="1" ht="15">
      <c r="A360" s="3"/>
      <c r="B360" s="5"/>
      <c r="C360" s="5"/>
      <c r="D360" s="3"/>
      <c r="E360" s="3"/>
      <c r="F360" s="3"/>
      <c r="G360" s="3"/>
      <c r="H360" s="57"/>
      <c r="I360" s="48" t="s">
        <v>1189</v>
      </c>
      <c r="J360" s="53">
        <f t="shared" ref="J360:J363" si="31">ROUND(AVERAGE(J335,J340,J345,J350,J355),1)</f>
        <v>6.7</v>
      </c>
      <c r="K360" s="53">
        <f t="shared" ref="K360:K363" si="32">ROUND(STDEV(J335,J340,J345,J350,J355),1)</f>
        <v>2.8</v>
      </c>
      <c r="L360" s="53">
        <f t="shared" ref="L360:L363" si="33">ROUND(AVERAGE(L335,L340,L345,L350,L355),1)</f>
        <v>13.9</v>
      </c>
      <c r="M360" s="53">
        <f t="shared" ref="M360:M363" si="34">ROUND(STDEV(L335,L340,L345,L350,L355),1)</f>
        <v>6</v>
      </c>
      <c r="N360" s="53">
        <f t="shared" ref="N360:N363" si="35">ROUND(AVERAGE(N335,N340,N345,N350,N355),1)</f>
        <v>0.8</v>
      </c>
      <c r="O360" s="54">
        <f t="shared" ref="O360:O363" si="36">ROUND(STDEV(N335,N340,N345,N350,N355),1)</f>
        <v>0.3</v>
      </c>
      <c r="P360" s="3"/>
      <c r="Q360" s="64"/>
    </row>
    <row r="361" spans="1:17" s="1" customFormat="1" ht="15">
      <c r="A361" s="3"/>
      <c r="B361" s="5"/>
      <c r="C361" s="5"/>
      <c r="D361" s="3"/>
      <c r="E361" s="3"/>
      <c r="F361" s="3"/>
      <c r="G361" s="3"/>
      <c r="H361" s="57"/>
      <c r="I361" s="48" t="s">
        <v>880</v>
      </c>
      <c r="J361" s="53">
        <f t="shared" si="31"/>
        <v>8.8000000000000007</v>
      </c>
      <c r="K361" s="53">
        <f t="shared" si="32"/>
        <v>3.1</v>
      </c>
      <c r="L361" s="53">
        <f t="shared" si="33"/>
        <v>32.200000000000003</v>
      </c>
      <c r="M361" s="53">
        <f t="shared" si="34"/>
        <v>9</v>
      </c>
      <c r="N361" s="53">
        <f t="shared" si="35"/>
        <v>2.7</v>
      </c>
      <c r="O361" s="54">
        <f t="shared" si="36"/>
        <v>0.6</v>
      </c>
      <c r="P361" s="3"/>
      <c r="Q361" s="64"/>
    </row>
    <row r="362" spans="1:17" s="1" customFormat="1" ht="15">
      <c r="A362" s="3"/>
      <c r="B362" s="5"/>
      <c r="C362" s="5"/>
      <c r="D362" s="3"/>
      <c r="E362" s="3"/>
      <c r="F362" s="3"/>
      <c r="G362" s="3"/>
      <c r="H362" s="57"/>
      <c r="I362" s="48" t="s">
        <v>351</v>
      </c>
      <c r="J362" s="53">
        <f t="shared" si="31"/>
        <v>96</v>
      </c>
      <c r="K362" s="53">
        <f t="shared" si="32"/>
        <v>17.7</v>
      </c>
      <c r="L362" s="53">
        <f t="shared" si="33"/>
        <v>46.3</v>
      </c>
      <c r="M362" s="53">
        <f t="shared" si="34"/>
        <v>17.100000000000001</v>
      </c>
      <c r="N362" s="53">
        <f t="shared" si="35"/>
        <v>46.1</v>
      </c>
      <c r="O362" s="54">
        <f t="shared" si="36"/>
        <v>20.3</v>
      </c>
      <c r="P362" s="3"/>
      <c r="Q362" s="64"/>
    </row>
    <row r="363" spans="1:17" ht="16" thickBot="1">
      <c r="I363" s="49" t="s">
        <v>556</v>
      </c>
      <c r="J363" s="55">
        <f t="shared" si="31"/>
        <v>104.9</v>
      </c>
      <c r="K363" s="55">
        <f t="shared" si="32"/>
        <v>16.2</v>
      </c>
      <c r="L363" s="55">
        <f t="shared" si="33"/>
        <v>45</v>
      </c>
      <c r="M363" s="55">
        <f t="shared" si="34"/>
        <v>15.1</v>
      </c>
      <c r="N363" s="55">
        <f t="shared" si="35"/>
        <v>48.8</v>
      </c>
      <c r="O363" s="56">
        <f t="shared" si="36"/>
        <v>20.2</v>
      </c>
    </row>
    <row r="364" spans="1:17">
      <c r="J364"/>
      <c r="K364"/>
      <c r="L364"/>
      <c r="M364"/>
      <c r="N364"/>
      <c r="O364"/>
    </row>
    <row r="365" spans="1:17" s="26" customFormat="1" ht="15">
      <c r="A365" s="19" t="s">
        <v>1167</v>
      </c>
      <c r="B365" s="29" t="s">
        <v>775</v>
      </c>
      <c r="C365" s="29" t="s">
        <v>776</v>
      </c>
      <c r="D365" s="19" t="s">
        <v>692</v>
      </c>
      <c r="E365" s="19">
        <v>1990</v>
      </c>
      <c r="F365" s="19">
        <v>6</v>
      </c>
      <c r="G365" s="19">
        <v>27</v>
      </c>
      <c r="H365" s="28" t="s">
        <v>1047</v>
      </c>
      <c r="I365" s="28" t="s">
        <v>1179</v>
      </c>
      <c r="J365" s="75">
        <v>7.4</v>
      </c>
      <c r="K365" s="22" t="s">
        <v>986</v>
      </c>
      <c r="L365" s="22">
        <f>(N365/J365)*100</f>
        <v>100</v>
      </c>
      <c r="M365" s="22" t="s">
        <v>986</v>
      </c>
      <c r="N365" s="22">
        <v>7.4</v>
      </c>
      <c r="O365" s="22" t="s">
        <v>986</v>
      </c>
      <c r="P365" s="19" t="s">
        <v>654</v>
      </c>
      <c r="Q365" s="63"/>
    </row>
    <row r="366" spans="1:17" s="26" customFormat="1" ht="15">
      <c r="A366" s="19" t="s">
        <v>1167</v>
      </c>
      <c r="B366" s="29" t="s">
        <v>775</v>
      </c>
      <c r="C366" s="29" t="s">
        <v>776</v>
      </c>
      <c r="D366" s="19" t="s">
        <v>692</v>
      </c>
      <c r="E366" s="19">
        <v>1990</v>
      </c>
      <c r="F366" s="19">
        <v>6</v>
      </c>
      <c r="G366" s="19">
        <v>27</v>
      </c>
      <c r="H366" s="28" t="s">
        <v>1047</v>
      </c>
      <c r="I366" s="28" t="s">
        <v>1189</v>
      </c>
      <c r="J366" s="22">
        <v>26</v>
      </c>
      <c r="K366" s="22" t="s">
        <v>986</v>
      </c>
      <c r="L366" s="22">
        <f t="shared" ref="L366:L384" si="37">(N366/J366)*100</f>
        <v>51.923076923076927</v>
      </c>
      <c r="M366" s="22" t="s">
        <v>253</v>
      </c>
      <c r="N366" s="22">
        <v>13.5</v>
      </c>
      <c r="O366" s="22" t="s">
        <v>253</v>
      </c>
      <c r="P366" s="19" t="s">
        <v>654</v>
      </c>
      <c r="Q366" s="63"/>
    </row>
    <row r="367" spans="1:17" s="26" customFormat="1" ht="15">
      <c r="A367" s="19" t="s">
        <v>1167</v>
      </c>
      <c r="B367" s="29" t="s">
        <v>775</v>
      </c>
      <c r="C367" s="29" t="s">
        <v>776</v>
      </c>
      <c r="D367" s="19" t="s">
        <v>692</v>
      </c>
      <c r="E367" s="19">
        <v>1990</v>
      </c>
      <c r="F367" s="19">
        <v>6</v>
      </c>
      <c r="G367" s="19">
        <v>27</v>
      </c>
      <c r="H367" s="28" t="s">
        <v>1047</v>
      </c>
      <c r="I367" s="28" t="s">
        <v>959</v>
      </c>
      <c r="J367" s="22">
        <v>33.4</v>
      </c>
      <c r="K367" s="22" t="s">
        <v>253</v>
      </c>
      <c r="L367" s="22">
        <f t="shared" si="37"/>
        <v>62.574850299401199</v>
      </c>
      <c r="M367" s="22" t="s">
        <v>253</v>
      </c>
      <c r="N367" s="22">
        <v>20.9</v>
      </c>
      <c r="O367" s="22" t="s">
        <v>253</v>
      </c>
      <c r="P367" s="19" t="s">
        <v>654</v>
      </c>
      <c r="Q367" s="63"/>
    </row>
    <row r="368" spans="1:17" s="26" customFormat="1" ht="15">
      <c r="A368" s="19" t="s">
        <v>1167</v>
      </c>
      <c r="B368" s="29" t="s">
        <v>775</v>
      </c>
      <c r="C368" s="29" t="s">
        <v>776</v>
      </c>
      <c r="D368" s="19" t="s">
        <v>692</v>
      </c>
      <c r="E368" s="19">
        <v>1990</v>
      </c>
      <c r="F368" s="19">
        <v>6</v>
      </c>
      <c r="G368" s="19">
        <v>27</v>
      </c>
      <c r="H368" s="28" t="s">
        <v>1047</v>
      </c>
      <c r="I368" s="28" t="s">
        <v>351</v>
      </c>
      <c r="J368" s="22">
        <v>58.1</v>
      </c>
      <c r="K368" s="22" t="s">
        <v>986</v>
      </c>
      <c r="L368" s="22">
        <f t="shared" si="37"/>
        <v>74.698795180722882</v>
      </c>
      <c r="M368" s="22" t="s">
        <v>986</v>
      </c>
      <c r="N368" s="22">
        <v>43.4</v>
      </c>
      <c r="O368" s="22" t="s">
        <v>986</v>
      </c>
      <c r="P368" s="19" t="s">
        <v>654</v>
      </c>
      <c r="Q368" s="63"/>
    </row>
    <row r="369" spans="1:17" s="26" customFormat="1" ht="15">
      <c r="A369" s="19" t="s">
        <v>1167</v>
      </c>
      <c r="B369" s="29" t="s">
        <v>775</v>
      </c>
      <c r="C369" s="29" t="s">
        <v>776</v>
      </c>
      <c r="D369" s="19" t="s">
        <v>692</v>
      </c>
      <c r="E369" s="19">
        <v>1990</v>
      </c>
      <c r="F369" s="19">
        <v>6</v>
      </c>
      <c r="G369" s="19">
        <v>27</v>
      </c>
      <c r="H369" s="28" t="s">
        <v>1047</v>
      </c>
      <c r="I369" s="28" t="s">
        <v>485</v>
      </c>
      <c r="J369" s="22">
        <v>91.5</v>
      </c>
      <c r="K369" s="22" t="s">
        <v>986</v>
      </c>
      <c r="L369" s="22">
        <f t="shared" si="37"/>
        <v>70.273224043715842</v>
      </c>
      <c r="M369" s="22" t="s">
        <v>986</v>
      </c>
      <c r="N369" s="22">
        <v>64.3</v>
      </c>
      <c r="O369" s="22" t="s">
        <v>986</v>
      </c>
      <c r="P369" s="19" t="s">
        <v>654</v>
      </c>
      <c r="Q369" s="63"/>
    </row>
    <row r="370" spans="1:17" s="26" customFormat="1" ht="15">
      <c r="A370" s="19" t="s">
        <v>591</v>
      </c>
      <c r="B370" s="29" t="s">
        <v>775</v>
      </c>
      <c r="C370" s="29" t="s">
        <v>776</v>
      </c>
      <c r="D370" s="19" t="s">
        <v>692</v>
      </c>
      <c r="E370" s="19">
        <v>1999</v>
      </c>
      <c r="F370" s="19">
        <v>7</v>
      </c>
      <c r="G370" s="19">
        <v>9</v>
      </c>
      <c r="H370" s="28" t="s">
        <v>1047</v>
      </c>
      <c r="I370" s="28" t="s">
        <v>594</v>
      </c>
      <c r="J370" s="22">
        <v>3.1</v>
      </c>
      <c r="K370" s="22" t="s">
        <v>986</v>
      </c>
      <c r="L370" s="22">
        <f t="shared" si="37"/>
        <v>35.483870967741936</v>
      </c>
      <c r="M370" s="22" t="s">
        <v>986</v>
      </c>
      <c r="N370" s="22">
        <v>1.1000000000000001</v>
      </c>
      <c r="O370" s="22" t="s">
        <v>986</v>
      </c>
      <c r="P370" s="19" t="s">
        <v>655</v>
      </c>
      <c r="Q370" s="63"/>
    </row>
    <row r="371" spans="1:17" s="26" customFormat="1" ht="15">
      <c r="A371" s="19" t="s">
        <v>1167</v>
      </c>
      <c r="B371" s="29" t="s">
        <v>775</v>
      </c>
      <c r="C371" s="29" t="s">
        <v>776</v>
      </c>
      <c r="D371" s="19" t="s">
        <v>692</v>
      </c>
      <c r="E371" s="19">
        <v>1999</v>
      </c>
      <c r="F371" s="19">
        <v>7</v>
      </c>
      <c r="G371" s="19">
        <v>9</v>
      </c>
      <c r="H371" s="28" t="s">
        <v>1047</v>
      </c>
      <c r="I371" s="28" t="s">
        <v>649</v>
      </c>
      <c r="J371" s="22">
        <v>0.7</v>
      </c>
      <c r="K371" s="22" t="s">
        <v>986</v>
      </c>
      <c r="L371" s="22">
        <f t="shared" si="37"/>
        <v>0</v>
      </c>
      <c r="M371" s="22" t="s">
        <v>986</v>
      </c>
      <c r="N371" s="22">
        <v>0</v>
      </c>
      <c r="O371" s="22" t="s">
        <v>986</v>
      </c>
      <c r="P371" s="19" t="s">
        <v>655</v>
      </c>
      <c r="Q371" s="63"/>
    </row>
    <row r="372" spans="1:17" s="26" customFormat="1" ht="15">
      <c r="A372" s="19" t="s">
        <v>1167</v>
      </c>
      <c r="B372" s="29" t="s">
        <v>775</v>
      </c>
      <c r="C372" s="29" t="s">
        <v>776</v>
      </c>
      <c r="D372" s="19" t="s">
        <v>692</v>
      </c>
      <c r="E372" s="19">
        <v>1999</v>
      </c>
      <c r="F372" s="19">
        <v>7</v>
      </c>
      <c r="G372" s="19">
        <v>9</v>
      </c>
      <c r="H372" s="28" t="s">
        <v>1047</v>
      </c>
      <c r="I372" s="28" t="s">
        <v>959</v>
      </c>
      <c r="J372" s="22">
        <v>3.8</v>
      </c>
      <c r="K372" s="22" t="s">
        <v>986</v>
      </c>
      <c r="L372" s="22">
        <f t="shared" si="37"/>
        <v>28.947368421052634</v>
      </c>
      <c r="M372" s="22" t="s">
        <v>986</v>
      </c>
      <c r="N372" s="22">
        <v>1.1000000000000001</v>
      </c>
      <c r="O372" s="22" t="s">
        <v>986</v>
      </c>
      <c r="P372" s="19" t="s">
        <v>655</v>
      </c>
      <c r="Q372" s="63"/>
    </row>
    <row r="373" spans="1:17" s="26" customFormat="1" ht="15">
      <c r="A373" s="19" t="s">
        <v>1167</v>
      </c>
      <c r="B373" s="29" t="s">
        <v>775</v>
      </c>
      <c r="C373" s="29" t="s">
        <v>776</v>
      </c>
      <c r="D373" s="19" t="s">
        <v>692</v>
      </c>
      <c r="E373" s="19">
        <v>1999</v>
      </c>
      <c r="F373" s="19">
        <v>7</v>
      </c>
      <c r="G373" s="19">
        <v>9</v>
      </c>
      <c r="H373" s="28" t="s">
        <v>1047</v>
      </c>
      <c r="I373" s="28" t="s">
        <v>486</v>
      </c>
      <c r="J373" s="22">
        <v>100.4</v>
      </c>
      <c r="K373" s="22" t="s">
        <v>986</v>
      </c>
      <c r="L373" s="22">
        <f t="shared" si="37"/>
        <v>23.40637450199203</v>
      </c>
      <c r="M373" s="22" t="s">
        <v>986</v>
      </c>
      <c r="N373" s="22">
        <v>23.5</v>
      </c>
      <c r="O373" s="22" t="s">
        <v>986</v>
      </c>
      <c r="P373" s="19" t="s">
        <v>655</v>
      </c>
      <c r="Q373" s="63"/>
    </row>
    <row r="374" spans="1:17" s="26" customFormat="1" ht="15">
      <c r="A374" s="19" t="s">
        <v>1167</v>
      </c>
      <c r="B374" s="29" t="s">
        <v>775</v>
      </c>
      <c r="C374" s="29" t="s">
        <v>776</v>
      </c>
      <c r="D374" s="19" t="s">
        <v>692</v>
      </c>
      <c r="E374" s="19">
        <v>1999</v>
      </c>
      <c r="F374" s="19">
        <v>7</v>
      </c>
      <c r="G374" s="19">
        <v>9</v>
      </c>
      <c r="H374" s="28" t="s">
        <v>1047</v>
      </c>
      <c r="I374" s="28" t="s">
        <v>485</v>
      </c>
      <c r="J374" s="22">
        <v>104.2</v>
      </c>
      <c r="K374" s="22" t="s">
        <v>986</v>
      </c>
      <c r="L374" s="22">
        <f t="shared" si="37"/>
        <v>23.608445297504797</v>
      </c>
      <c r="M374" s="22" t="s">
        <v>986</v>
      </c>
      <c r="N374" s="22">
        <v>24.6</v>
      </c>
      <c r="O374" s="22" t="s">
        <v>986</v>
      </c>
      <c r="P374" s="19" t="s">
        <v>655</v>
      </c>
      <c r="Q374" s="63"/>
    </row>
    <row r="375" spans="1:17" s="26" customFormat="1" ht="15">
      <c r="A375" s="19" t="s">
        <v>591</v>
      </c>
      <c r="B375" s="29" t="s">
        <v>775</v>
      </c>
      <c r="C375" s="29" t="s">
        <v>776</v>
      </c>
      <c r="D375" s="19" t="s">
        <v>692</v>
      </c>
      <c r="E375" s="19">
        <v>1999</v>
      </c>
      <c r="F375" s="19">
        <v>7</v>
      </c>
      <c r="G375" s="19">
        <v>11</v>
      </c>
      <c r="H375" s="28" t="s">
        <v>1047</v>
      </c>
      <c r="I375" s="28" t="s">
        <v>594</v>
      </c>
      <c r="J375" s="22">
        <v>1.7</v>
      </c>
      <c r="K375" s="22" t="s">
        <v>986</v>
      </c>
      <c r="L375" s="22">
        <f t="shared" si="37"/>
        <v>0</v>
      </c>
      <c r="M375" s="22" t="s">
        <v>986</v>
      </c>
      <c r="N375" s="22">
        <v>0</v>
      </c>
      <c r="O375" s="22" t="s">
        <v>986</v>
      </c>
      <c r="P375" s="19" t="s">
        <v>778</v>
      </c>
      <c r="Q375" s="63"/>
    </row>
    <row r="376" spans="1:17" s="26" customFormat="1" ht="15">
      <c r="A376" s="19" t="s">
        <v>1167</v>
      </c>
      <c r="B376" s="29" t="s">
        <v>775</v>
      </c>
      <c r="C376" s="29" t="s">
        <v>776</v>
      </c>
      <c r="D376" s="19" t="s">
        <v>692</v>
      </c>
      <c r="E376" s="19">
        <v>1999</v>
      </c>
      <c r="F376" s="19">
        <v>7</v>
      </c>
      <c r="G376" s="19">
        <v>11</v>
      </c>
      <c r="H376" s="28" t="s">
        <v>1047</v>
      </c>
      <c r="I376" s="28" t="s">
        <v>649</v>
      </c>
      <c r="J376" s="22">
        <v>0.5</v>
      </c>
      <c r="K376" s="22" t="s">
        <v>986</v>
      </c>
      <c r="L376" s="22">
        <f t="shared" si="37"/>
        <v>0</v>
      </c>
      <c r="M376" s="22" t="s">
        <v>986</v>
      </c>
      <c r="N376" s="22">
        <v>0</v>
      </c>
      <c r="O376" s="22" t="s">
        <v>986</v>
      </c>
      <c r="P376" s="19" t="s">
        <v>778</v>
      </c>
      <c r="Q376" s="63"/>
    </row>
    <row r="377" spans="1:17" s="26" customFormat="1" ht="15">
      <c r="A377" s="19" t="s">
        <v>1167</v>
      </c>
      <c r="B377" s="29" t="s">
        <v>775</v>
      </c>
      <c r="C377" s="29" t="s">
        <v>776</v>
      </c>
      <c r="D377" s="19" t="s">
        <v>692</v>
      </c>
      <c r="E377" s="19">
        <v>1999</v>
      </c>
      <c r="F377" s="19">
        <v>7</v>
      </c>
      <c r="G377" s="19">
        <v>11</v>
      </c>
      <c r="H377" s="28" t="s">
        <v>1047</v>
      </c>
      <c r="I377" s="28" t="s">
        <v>959</v>
      </c>
      <c r="J377" s="22">
        <v>2.2000000000000002</v>
      </c>
      <c r="K377" s="22" t="s">
        <v>986</v>
      </c>
      <c r="L377" s="22">
        <f t="shared" si="37"/>
        <v>0</v>
      </c>
      <c r="M377" s="22" t="s">
        <v>986</v>
      </c>
      <c r="N377" s="22">
        <v>0</v>
      </c>
      <c r="O377" s="22" t="s">
        <v>986</v>
      </c>
      <c r="P377" s="19" t="s">
        <v>778</v>
      </c>
      <c r="Q377" s="63"/>
    </row>
    <row r="378" spans="1:17" s="26" customFormat="1" ht="15">
      <c r="A378" s="19" t="s">
        <v>1167</v>
      </c>
      <c r="B378" s="29" t="s">
        <v>775</v>
      </c>
      <c r="C378" s="29" t="s">
        <v>776</v>
      </c>
      <c r="D378" s="19" t="s">
        <v>692</v>
      </c>
      <c r="E378" s="19">
        <v>1999</v>
      </c>
      <c r="F378" s="19">
        <v>7</v>
      </c>
      <c r="G378" s="19">
        <v>11</v>
      </c>
      <c r="H378" s="28" t="s">
        <v>1047</v>
      </c>
      <c r="I378" s="28" t="s">
        <v>486</v>
      </c>
      <c r="J378" s="22">
        <v>79.400000000000006</v>
      </c>
      <c r="K378" s="22" t="s">
        <v>986</v>
      </c>
      <c r="L378" s="22">
        <f t="shared" si="37"/>
        <v>25.062972292191432</v>
      </c>
      <c r="M378" s="22" t="s">
        <v>986</v>
      </c>
      <c r="N378" s="22">
        <v>19.899999999999999</v>
      </c>
      <c r="O378" s="22" t="s">
        <v>986</v>
      </c>
      <c r="P378" s="19" t="s">
        <v>778</v>
      </c>
      <c r="Q378" s="63"/>
    </row>
    <row r="379" spans="1:17" s="26" customFormat="1" ht="15">
      <c r="A379" s="19" t="s">
        <v>1167</v>
      </c>
      <c r="B379" s="29" t="s">
        <v>775</v>
      </c>
      <c r="C379" s="29" t="s">
        <v>776</v>
      </c>
      <c r="D379" s="19" t="s">
        <v>692</v>
      </c>
      <c r="E379" s="19">
        <v>1999</v>
      </c>
      <c r="F379" s="19">
        <v>7</v>
      </c>
      <c r="G379" s="19">
        <v>11</v>
      </c>
      <c r="H379" s="28" t="s">
        <v>1047</v>
      </c>
      <c r="I379" s="28" t="s">
        <v>485</v>
      </c>
      <c r="J379" s="22">
        <v>81.599999999999994</v>
      </c>
      <c r="K379" s="22" t="s">
        <v>986</v>
      </c>
      <c r="L379" s="22">
        <f t="shared" si="37"/>
        <v>24.387254901960784</v>
      </c>
      <c r="M379" s="22" t="s">
        <v>986</v>
      </c>
      <c r="N379" s="22">
        <v>19.899999999999999</v>
      </c>
      <c r="O379" s="22" t="s">
        <v>986</v>
      </c>
      <c r="P379" s="19" t="s">
        <v>778</v>
      </c>
      <c r="Q379" s="63"/>
    </row>
    <row r="380" spans="1:17" s="26" customFormat="1" ht="15">
      <c r="A380" s="19" t="s">
        <v>591</v>
      </c>
      <c r="B380" s="29" t="s">
        <v>775</v>
      </c>
      <c r="C380" s="29" t="s">
        <v>776</v>
      </c>
      <c r="D380" s="19" t="s">
        <v>692</v>
      </c>
      <c r="E380" s="19">
        <v>1999</v>
      </c>
      <c r="F380" s="19">
        <v>7</v>
      </c>
      <c r="G380" s="19">
        <v>11</v>
      </c>
      <c r="H380" s="28" t="s">
        <v>1047</v>
      </c>
      <c r="I380" s="28" t="s">
        <v>594</v>
      </c>
      <c r="J380" s="22">
        <v>7.2</v>
      </c>
      <c r="K380" s="22" t="s">
        <v>986</v>
      </c>
      <c r="L380" s="22">
        <f t="shared" si="37"/>
        <v>38.888888888888886</v>
      </c>
      <c r="M380" s="22" t="s">
        <v>986</v>
      </c>
      <c r="N380" s="22">
        <v>2.8</v>
      </c>
      <c r="O380" s="22" t="s">
        <v>986</v>
      </c>
      <c r="P380" s="19" t="s">
        <v>779</v>
      </c>
      <c r="Q380" s="63"/>
    </row>
    <row r="381" spans="1:17" s="26" customFormat="1" ht="15">
      <c r="A381" s="19" t="s">
        <v>32</v>
      </c>
      <c r="B381" s="29" t="s">
        <v>775</v>
      </c>
      <c r="C381" s="29" t="s">
        <v>776</v>
      </c>
      <c r="D381" s="19" t="s">
        <v>692</v>
      </c>
      <c r="E381" s="19">
        <v>1999</v>
      </c>
      <c r="F381" s="19">
        <v>7</v>
      </c>
      <c r="G381" s="19">
        <v>11</v>
      </c>
      <c r="H381" s="28" t="s">
        <v>1047</v>
      </c>
      <c r="I381" s="28" t="s">
        <v>649</v>
      </c>
      <c r="J381" s="22">
        <v>1.5</v>
      </c>
      <c r="K381" s="22" t="s">
        <v>986</v>
      </c>
      <c r="L381" s="22">
        <f t="shared" si="37"/>
        <v>60</v>
      </c>
      <c r="M381" s="22" t="s">
        <v>986</v>
      </c>
      <c r="N381" s="22">
        <v>0.9</v>
      </c>
      <c r="O381" s="22" t="s">
        <v>986</v>
      </c>
      <c r="P381" s="19" t="s">
        <v>779</v>
      </c>
      <c r="Q381" s="63"/>
    </row>
    <row r="382" spans="1:17" s="26" customFormat="1" ht="15">
      <c r="A382" s="19" t="s">
        <v>1167</v>
      </c>
      <c r="B382" s="29" t="s">
        <v>775</v>
      </c>
      <c r="C382" s="29" t="s">
        <v>776</v>
      </c>
      <c r="D382" s="19" t="s">
        <v>692</v>
      </c>
      <c r="E382" s="19">
        <v>1999</v>
      </c>
      <c r="F382" s="19">
        <v>7</v>
      </c>
      <c r="G382" s="19">
        <v>11</v>
      </c>
      <c r="H382" s="28" t="s">
        <v>1047</v>
      </c>
      <c r="I382" s="28" t="s">
        <v>959</v>
      </c>
      <c r="J382" s="22">
        <v>8.6999999999999993</v>
      </c>
      <c r="K382" s="22" t="s">
        <v>986</v>
      </c>
      <c r="L382" s="22">
        <f t="shared" si="37"/>
        <v>42.52873563218391</v>
      </c>
      <c r="M382" s="22" t="s">
        <v>986</v>
      </c>
      <c r="N382" s="22">
        <v>3.7</v>
      </c>
      <c r="O382" s="22" t="s">
        <v>986</v>
      </c>
      <c r="P382" s="19" t="s">
        <v>779</v>
      </c>
      <c r="Q382" s="63"/>
    </row>
    <row r="383" spans="1:17" s="26" customFormat="1" ht="15">
      <c r="A383" s="19" t="s">
        <v>1167</v>
      </c>
      <c r="B383" s="29" t="s">
        <v>775</v>
      </c>
      <c r="C383" s="29" t="s">
        <v>776</v>
      </c>
      <c r="D383" s="19" t="s">
        <v>692</v>
      </c>
      <c r="E383" s="19">
        <v>1999</v>
      </c>
      <c r="F383" s="19">
        <v>7</v>
      </c>
      <c r="G383" s="19">
        <v>11</v>
      </c>
      <c r="H383" s="28" t="s">
        <v>1047</v>
      </c>
      <c r="I383" s="28" t="s">
        <v>486</v>
      </c>
      <c r="J383" s="22">
        <v>56.7</v>
      </c>
      <c r="K383" s="22" t="s">
        <v>986</v>
      </c>
      <c r="L383" s="22">
        <f t="shared" si="37"/>
        <v>24.867724867724867</v>
      </c>
      <c r="M383" s="22" t="s">
        <v>986</v>
      </c>
      <c r="N383" s="22">
        <v>14.1</v>
      </c>
      <c r="O383" s="22" t="s">
        <v>986</v>
      </c>
      <c r="P383" s="19" t="s">
        <v>779</v>
      </c>
      <c r="Q383" s="63"/>
    </row>
    <row r="384" spans="1:17" s="26" customFormat="1" ht="16" thickBot="1">
      <c r="A384" s="19" t="s">
        <v>1167</v>
      </c>
      <c r="B384" s="29" t="s">
        <v>775</v>
      </c>
      <c r="C384" s="29" t="s">
        <v>776</v>
      </c>
      <c r="D384" s="19" t="s">
        <v>692</v>
      </c>
      <c r="E384" s="19">
        <v>1999</v>
      </c>
      <c r="F384" s="19">
        <v>7</v>
      </c>
      <c r="G384" s="19">
        <v>11</v>
      </c>
      <c r="H384" s="28" t="s">
        <v>1047</v>
      </c>
      <c r="I384" s="69" t="s">
        <v>485</v>
      </c>
      <c r="J384" s="45">
        <v>65.400000000000006</v>
      </c>
      <c r="K384" s="45" t="s">
        <v>1046</v>
      </c>
      <c r="L384" s="45">
        <f t="shared" si="37"/>
        <v>27.217125382262996</v>
      </c>
      <c r="M384" s="45" t="s">
        <v>1046</v>
      </c>
      <c r="N384" s="45">
        <v>17.8</v>
      </c>
      <c r="O384" s="45" t="s">
        <v>1046</v>
      </c>
      <c r="P384" s="19" t="s">
        <v>779</v>
      </c>
      <c r="Q384" s="63"/>
    </row>
    <row r="385" spans="1:99" ht="15">
      <c r="I385" s="47" t="s">
        <v>594</v>
      </c>
      <c r="J385" s="51">
        <f>ROUND(AVERAGE(J365,J370,J375,J380),1)</f>
        <v>4.9000000000000004</v>
      </c>
      <c r="K385" s="51">
        <f>ROUND(STDEV(J365,J370,J375,J380),1)</f>
        <v>2.9</v>
      </c>
      <c r="L385" s="51">
        <f>ROUND(AVERAGE(L365,L370,L375,L380),1)</f>
        <v>43.6</v>
      </c>
      <c r="M385" s="51">
        <f>ROUND(STDEV(L365,L370,L375,L380),1)</f>
        <v>41.5</v>
      </c>
      <c r="N385" s="51">
        <f>ROUND(AVERAGE(N365,N370,N375,N380),1)</f>
        <v>2.8</v>
      </c>
      <c r="O385" s="52">
        <f>ROUND(STDEV(N365,N370,N375,N380),1)</f>
        <v>3.3</v>
      </c>
    </row>
    <row r="386" spans="1:99" ht="15">
      <c r="I386" s="48" t="s">
        <v>649</v>
      </c>
      <c r="J386" s="53">
        <f t="shared" ref="J386:J389" si="38">ROUND(AVERAGE(J366,J371,J376,J381),1)</f>
        <v>7.2</v>
      </c>
      <c r="K386" s="53">
        <f t="shared" ref="K386:K389" si="39">ROUND(STDEV(J366,J371,J376,J381),1)</f>
        <v>12.6</v>
      </c>
      <c r="L386" s="53">
        <f t="shared" ref="L386:L389" si="40">ROUND(AVERAGE(L366,L371,L376,L381),1)</f>
        <v>28</v>
      </c>
      <c r="M386" s="53">
        <f t="shared" ref="M386:M389" si="41">ROUND(STDEV(L366,L371,L376,L381),1)</f>
        <v>32.5</v>
      </c>
      <c r="N386" s="53">
        <f t="shared" ref="N386:N389" si="42">ROUND(AVERAGE(N366,N371,N376,N381),1)</f>
        <v>3.6</v>
      </c>
      <c r="O386" s="54">
        <f t="shared" ref="O386:O389" si="43">ROUND(STDEV(N366,N371,N376,N381),1)</f>
        <v>6.6</v>
      </c>
    </row>
    <row r="387" spans="1:99" ht="15">
      <c r="I387" s="48" t="s">
        <v>880</v>
      </c>
      <c r="J387" s="53">
        <f t="shared" si="38"/>
        <v>12</v>
      </c>
      <c r="K387" s="53">
        <f t="shared" si="39"/>
        <v>14.5</v>
      </c>
      <c r="L387" s="53">
        <f t="shared" si="40"/>
        <v>33.5</v>
      </c>
      <c r="M387" s="53">
        <f t="shared" si="41"/>
        <v>26.3</v>
      </c>
      <c r="N387" s="53">
        <f t="shared" si="42"/>
        <v>6.4</v>
      </c>
      <c r="O387" s="54">
        <f t="shared" si="43"/>
        <v>9.8000000000000007</v>
      </c>
    </row>
    <row r="388" spans="1:99" s="1" customFormat="1" ht="15">
      <c r="A388" s="3"/>
      <c r="B388" s="5"/>
      <c r="C388" s="5"/>
      <c r="D388" s="3"/>
      <c r="E388" s="3"/>
      <c r="F388" s="3"/>
      <c r="G388" s="3"/>
      <c r="H388" s="57"/>
      <c r="I388" s="48" t="s">
        <v>351</v>
      </c>
      <c r="J388" s="53">
        <f t="shared" si="38"/>
        <v>73.7</v>
      </c>
      <c r="K388" s="53">
        <f t="shared" si="39"/>
        <v>20.6</v>
      </c>
      <c r="L388" s="53">
        <f t="shared" si="40"/>
        <v>37</v>
      </c>
      <c r="M388" s="53">
        <f t="shared" si="41"/>
        <v>25.1</v>
      </c>
      <c r="N388" s="53">
        <f t="shared" si="42"/>
        <v>25.2</v>
      </c>
      <c r="O388" s="54">
        <f t="shared" si="43"/>
        <v>12.7</v>
      </c>
      <c r="P388" s="3"/>
      <c r="Q388" s="64"/>
    </row>
    <row r="389" spans="1:99" s="1" customFormat="1" ht="16" thickBot="1">
      <c r="A389" s="3"/>
      <c r="B389" s="5"/>
      <c r="C389" s="5"/>
      <c r="D389" s="3"/>
      <c r="E389" s="3"/>
      <c r="F389" s="3"/>
      <c r="G389" s="3"/>
      <c r="H389" s="57"/>
      <c r="I389" s="49" t="s">
        <v>556</v>
      </c>
      <c r="J389" s="55">
        <f t="shared" si="38"/>
        <v>85.7</v>
      </c>
      <c r="K389" s="55">
        <f t="shared" si="39"/>
        <v>16.399999999999999</v>
      </c>
      <c r="L389" s="55">
        <f t="shared" si="40"/>
        <v>36.4</v>
      </c>
      <c r="M389" s="55">
        <f t="shared" si="41"/>
        <v>22.7</v>
      </c>
      <c r="N389" s="55">
        <f t="shared" si="42"/>
        <v>31.7</v>
      </c>
      <c r="O389" s="56">
        <f t="shared" si="43"/>
        <v>22</v>
      </c>
      <c r="P389" s="3"/>
      <c r="Q389" s="64"/>
    </row>
    <row r="390" spans="1:99" s="1" customFormat="1" ht="15">
      <c r="A390" s="3"/>
      <c r="B390" s="5"/>
      <c r="C390" s="5"/>
      <c r="D390" s="3"/>
      <c r="E390" s="3"/>
      <c r="F390" s="3"/>
      <c r="G390" s="3"/>
      <c r="H390" s="57"/>
      <c r="I390" s="57"/>
      <c r="J390" s="3"/>
      <c r="K390" s="3"/>
      <c r="L390" s="3"/>
      <c r="M390" s="3"/>
      <c r="N390" s="3"/>
      <c r="O390" s="3"/>
      <c r="P390" s="3"/>
      <c r="Q390" s="64"/>
    </row>
    <row r="391" spans="1:99" s="1" customFormat="1" ht="15">
      <c r="A391" s="293"/>
      <c r="B391" s="297"/>
      <c r="C391" s="297"/>
      <c r="D391" s="293"/>
      <c r="E391" s="293"/>
      <c r="F391" s="293"/>
      <c r="G391" s="293"/>
      <c r="H391" s="348"/>
      <c r="I391" s="348"/>
      <c r="J391" s="293"/>
      <c r="K391" s="293"/>
      <c r="L391" s="293"/>
      <c r="M391" s="293"/>
      <c r="N391" s="293"/>
      <c r="O391" s="293"/>
      <c r="P391" s="293"/>
      <c r="Q391" s="64"/>
    </row>
    <row r="392" spans="1:99" s="1" customFormat="1" ht="15">
      <c r="A392" s="3"/>
      <c r="B392" s="5"/>
      <c r="C392" s="5"/>
      <c r="D392" s="3"/>
      <c r="E392" s="3"/>
      <c r="F392" s="3"/>
      <c r="G392" s="3"/>
      <c r="H392" s="57"/>
      <c r="I392" s="57"/>
      <c r="J392" s="3"/>
      <c r="K392" s="3"/>
      <c r="L392" s="3"/>
      <c r="M392" s="3"/>
      <c r="N392" s="3"/>
      <c r="O392" s="3"/>
      <c r="P392" s="3"/>
      <c r="Q392" s="64"/>
    </row>
    <row r="393" spans="1:99" s="66" customFormat="1">
      <c r="A393" s="19" t="s">
        <v>2099</v>
      </c>
      <c r="B393" s="19" t="s">
        <v>915</v>
      </c>
      <c r="C393" s="19" t="s">
        <v>648</v>
      </c>
      <c r="D393" s="19" t="s">
        <v>1049</v>
      </c>
      <c r="E393" s="19" t="s">
        <v>1050</v>
      </c>
      <c r="F393" s="19" t="s">
        <v>253</v>
      </c>
      <c r="G393" s="19" t="s">
        <v>253</v>
      </c>
      <c r="H393" s="19" t="s">
        <v>1051</v>
      </c>
      <c r="I393" s="19" t="s">
        <v>1110</v>
      </c>
      <c r="J393" s="22">
        <v>154</v>
      </c>
      <c r="K393" s="22" t="s">
        <v>253</v>
      </c>
      <c r="L393" s="22">
        <v>38.299999999999997</v>
      </c>
      <c r="M393" s="22" t="s">
        <v>253</v>
      </c>
      <c r="N393" s="22">
        <v>59</v>
      </c>
      <c r="O393" s="22">
        <v>2.4</v>
      </c>
      <c r="P393" s="19" t="s">
        <v>228</v>
      </c>
      <c r="Q393" s="64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</row>
    <row r="394" spans="1:99" s="66" customFormat="1" ht="14" thickBot="1">
      <c r="A394" s="19" t="s">
        <v>2099</v>
      </c>
      <c r="B394" s="19" t="s">
        <v>1126</v>
      </c>
      <c r="C394" s="19" t="s">
        <v>648</v>
      </c>
      <c r="D394" s="19" t="s">
        <v>1049</v>
      </c>
      <c r="E394" s="19" t="s">
        <v>1050</v>
      </c>
      <c r="F394" s="19" t="s">
        <v>986</v>
      </c>
      <c r="G394" s="19" t="s">
        <v>986</v>
      </c>
      <c r="H394" s="19" t="s">
        <v>1051</v>
      </c>
      <c r="I394" s="38" t="s">
        <v>994</v>
      </c>
      <c r="J394" s="45">
        <v>150</v>
      </c>
      <c r="K394" s="45" t="s">
        <v>986</v>
      </c>
      <c r="L394" s="45">
        <v>79.900000000000006</v>
      </c>
      <c r="M394" s="45" t="s">
        <v>986</v>
      </c>
      <c r="N394" s="45">
        <v>120</v>
      </c>
      <c r="O394" s="45">
        <v>8.1999999999999993</v>
      </c>
      <c r="P394" s="19" t="s">
        <v>242</v>
      </c>
      <c r="Q394" s="64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</row>
    <row r="395" spans="1:99" s="66" customFormat="1" ht="14" thickBot="1">
      <c r="A395" s="3"/>
      <c r="B395" s="3"/>
      <c r="C395" s="3"/>
      <c r="D395" s="3"/>
      <c r="E395" s="3"/>
      <c r="F395" s="3"/>
      <c r="G395" s="3"/>
      <c r="H395" s="3"/>
      <c r="I395" s="90" t="s">
        <v>1111</v>
      </c>
      <c r="J395" s="67">
        <f>AVERAGE(J393:J394)</f>
        <v>152</v>
      </c>
      <c r="K395" s="67" t="s">
        <v>253</v>
      </c>
      <c r="L395" s="67">
        <f t="shared" ref="L395:N395" si="44">AVERAGE(L393:L394)</f>
        <v>59.1</v>
      </c>
      <c r="M395" s="67" t="s">
        <v>253</v>
      </c>
      <c r="N395" s="67">
        <f t="shared" si="44"/>
        <v>89.5</v>
      </c>
      <c r="O395" s="68" t="s">
        <v>253</v>
      </c>
      <c r="P395" s="3"/>
      <c r="Q395" s="64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</row>
    <row r="396" spans="1:99" s="66" customFormat="1">
      <c r="A396" s="3"/>
      <c r="B396" s="3"/>
      <c r="C396" s="3"/>
      <c r="D396" s="3"/>
      <c r="E396" s="3"/>
      <c r="F396" s="3"/>
      <c r="G396" s="3"/>
      <c r="H396" s="3"/>
      <c r="I396" s="60"/>
      <c r="J396" s="80"/>
      <c r="K396" s="80"/>
      <c r="L396" s="80"/>
      <c r="M396" s="80"/>
      <c r="N396" s="80"/>
      <c r="O396" s="80"/>
      <c r="P396" s="3"/>
      <c r="Q396" s="64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</row>
    <row r="397" spans="1:99" s="66" customFormat="1">
      <c r="A397" s="293"/>
      <c r="B397" s="293"/>
      <c r="C397" s="293"/>
      <c r="D397" s="293"/>
      <c r="E397" s="293"/>
      <c r="F397" s="293"/>
      <c r="G397" s="293"/>
      <c r="H397" s="293"/>
      <c r="I397" s="298"/>
      <c r="J397" s="299"/>
      <c r="K397" s="299"/>
      <c r="L397" s="299"/>
      <c r="M397" s="299"/>
      <c r="N397" s="299"/>
      <c r="O397" s="299"/>
      <c r="P397" s="293"/>
      <c r="Q397" s="64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</row>
    <row r="398" spans="1:99" s="66" customFormat="1" ht="14" thickBot="1">
      <c r="A398" s="3"/>
      <c r="B398" s="3"/>
      <c r="C398" s="3"/>
      <c r="D398" s="3"/>
      <c r="E398" s="3"/>
      <c r="F398" s="3"/>
      <c r="G398" s="3"/>
      <c r="H398" s="3"/>
      <c r="I398" s="60"/>
      <c r="J398" s="80"/>
      <c r="K398" s="80"/>
      <c r="L398" s="80"/>
      <c r="M398" s="80"/>
      <c r="N398" s="80"/>
      <c r="O398" s="80"/>
      <c r="P398" s="3"/>
      <c r="Q398" s="64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</row>
    <row r="399" spans="1:99" s="26" customFormat="1" ht="15">
      <c r="A399" s="19" t="s">
        <v>1134</v>
      </c>
      <c r="B399" s="19" t="s">
        <v>1135</v>
      </c>
      <c r="C399" s="19" t="s">
        <v>1007</v>
      </c>
      <c r="D399" s="19" t="s">
        <v>1049</v>
      </c>
      <c r="E399" s="19">
        <v>2004</v>
      </c>
      <c r="F399" s="19"/>
      <c r="G399" s="19"/>
      <c r="H399" s="27" t="s">
        <v>1008</v>
      </c>
      <c r="I399" s="47" t="s">
        <v>571</v>
      </c>
      <c r="J399" s="51">
        <v>63.5</v>
      </c>
      <c r="K399" s="51" t="s">
        <v>1826</v>
      </c>
      <c r="L399" s="51">
        <v>52.9</v>
      </c>
      <c r="M399" s="51" t="s">
        <v>1826</v>
      </c>
      <c r="N399" s="51">
        <v>33.6</v>
      </c>
      <c r="O399" s="52" t="s">
        <v>1826</v>
      </c>
      <c r="P399" s="30" t="s">
        <v>885</v>
      </c>
      <c r="Q399" s="64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</row>
    <row r="400" spans="1:99" s="26" customFormat="1" ht="17" customHeight="1">
      <c r="A400" s="19" t="s">
        <v>1134</v>
      </c>
      <c r="B400" s="19" t="s">
        <v>1135</v>
      </c>
      <c r="C400" s="19" t="s">
        <v>886</v>
      </c>
      <c r="D400" s="19" t="s">
        <v>878</v>
      </c>
      <c r="E400" s="19">
        <v>2004</v>
      </c>
      <c r="F400" s="19"/>
      <c r="G400" s="19"/>
      <c r="H400" s="27" t="s">
        <v>1051</v>
      </c>
      <c r="I400" s="48" t="s">
        <v>572</v>
      </c>
      <c r="J400" s="53">
        <v>8.6999999999999993</v>
      </c>
      <c r="K400" s="53">
        <v>1.1000000000000001</v>
      </c>
      <c r="L400" s="53">
        <v>64</v>
      </c>
      <c r="M400" s="53">
        <v>4</v>
      </c>
      <c r="N400" s="53">
        <v>6.6</v>
      </c>
      <c r="O400" s="54">
        <v>1</v>
      </c>
      <c r="P400" s="30" t="s">
        <v>879</v>
      </c>
      <c r="Q400" s="64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</row>
    <row r="401" spans="1:99" s="26" customFormat="1" ht="17" customHeight="1" thickBot="1">
      <c r="A401" s="3"/>
      <c r="B401" s="3"/>
      <c r="C401" s="3"/>
      <c r="D401" s="3"/>
      <c r="E401" s="3"/>
      <c r="F401" s="3"/>
      <c r="G401" s="3"/>
      <c r="H401" s="3"/>
      <c r="I401" s="49" t="s">
        <v>323</v>
      </c>
      <c r="J401" s="55">
        <f>J399+J400</f>
        <v>72.2</v>
      </c>
      <c r="K401" s="55" t="s">
        <v>1826</v>
      </c>
      <c r="L401" s="55">
        <f t="shared" ref="L401" si="45">AVERAGE(L399:L400)</f>
        <v>58.45</v>
      </c>
      <c r="M401" s="55" t="s">
        <v>1826</v>
      </c>
      <c r="N401" s="55">
        <f>N399+N400</f>
        <v>40.200000000000003</v>
      </c>
      <c r="O401" s="56" t="s">
        <v>1826</v>
      </c>
      <c r="P401" s="3"/>
      <c r="Q401" s="64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</row>
    <row r="402" spans="1:99" s="1" customFormat="1" ht="17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64"/>
    </row>
    <row r="403" spans="1:99" s="1" customFormat="1" ht="17" customHeight="1">
      <c r="A403" s="293"/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64"/>
    </row>
    <row r="404" spans="1:99" s="1" customFormat="1" ht="17" customHeight="1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64"/>
    </row>
    <row r="405" spans="1:99" s="1" customFormat="1" ht="15">
      <c r="A405" s="87" t="s">
        <v>887</v>
      </c>
      <c r="B405" s="85" t="s">
        <v>888</v>
      </c>
      <c r="C405" s="85" t="s">
        <v>889</v>
      </c>
      <c r="D405" s="87" t="s">
        <v>1173</v>
      </c>
      <c r="E405" s="87">
        <v>1993</v>
      </c>
      <c r="F405" s="87" t="s">
        <v>253</v>
      </c>
      <c r="G405" s="87" t="s">
        <v>253</v>
      </c>
      <c r="H405" s="82" t="s">
        <v>936</v>
      </c>
      <c r="I405" s="47" t="s">
        <v>1101</v>
      </c>
      <c r="J405" s="51">
        <v>15.93</v>
      </c>
      <c r="K405" s="51" t="s">
        <v>253</v>
      </c>
      <c r="L405" s="51">
        <f>(N405/J405)*100</f>
        <v>84.620213433772761</v>
      </c>
      <c r="M405" s="51" t="s">
        <v>253</v>
      </c>
      <c r="N405" s="51">
        <f>15.93-2.45</f>
        <v>13.48</v>
      </c>
      <c r="O405" s="52" t="s">
        <v>253</v>
      </c>
      <c r="P405" s="139" t="s">
        <v>436</v>
      </c>
      <c r="Q405" s="64"/>
    </row>
    <row r="406" spans="1:99" s="1" customFormat="1" ht="15">
      <c r="A406" s="87" t="s">
        <v>887</v>
      </c>
      <c r="B406" s="85" t="s">
        <v>888</v>
      </c>
      <c r="C406" s="85" t="s">
        <v>889</v>
      </c>
      <c r="D406" s="87" t="s">
        <v>1173</v>
      </c>
      <c r="E406" s="87">
        <v>1993</v>
      </c>
      <c r="F406" s="87" t="s">
        <v>253</v>
      </c>
      <c r="G406" s="87" t="s">
        <v>253</v>
      </c>
      <c r="H406" s="82" t="s">
        <v>936</v>
      </c>
      <c r="I406" s="48" t="s">
        <v>1112</v>
      </c>
      <c r="J406" s="53">
        <v>0.15</v>
      </c>
      <c r="K406" s="53" t="s">
        <v>253</v>
      </c>
      <c r="L406" s="53" t="s">
        <v>253</v>
      </c>
      <c r="M406" s="53" t="s">
        <v>253</v>
      </c>
      <c r="N406" s="53" t="s">
        <v>253</v>
      </c>
      <c r="O406" s="54" t="s">
        <v>253</v>
      </c>
      <c r="P406" s="139" t="s">
        <v>436</v>
      </c>
      <c r="Q406" s="64"/>
    </row>
    <row r="407" spans="1:99" s="1" customFormat="1" ht="15">
      <c r="A407" s="87" t="s">
        <v>887</v>
      </c>
      <c r="B407" s="85" t="s">
        <v>888</v>
      </c>
      <c r="C407" s="85" t="s">
        <v>889</v>
      </c>
      <c r="D407" s="87" t="s">
        <v>1173</v>
      </c>
      <c r="E407" s="87">
        <v>1993</v>
      </c>
      <c r="F407" s="87" t="s">
        <v>253</v>
      </c>
      <c r="G407" s="87" t="s">
        <v>253</v>
      </c>
      <c r="H407" s="82" t="s">
        <v>936</v>
      </c>
      <c r="I407" s="48" t="s">
        <v>1113</v>
      </c>
      <c r="J407" s="53">
        <v>0.81</v>
      </c>
      <c r="K407" s="53" t="s">
        <v>253</v>
      </c>
      <c r="L407" s="53">
        <f t="shared" ref="L407:L409" si="46">(N407/J407)*100</f>
        <v>92.592592592592581</v>
      </c>
      <c r="M407" s="53"/>
      <c r="N407" s="53">
        <f>0.81-0.06</f>
        <v>0.75</v>
      </c>
      <c r="O407" s="54" t="s">
        <v>253</v>
      </c>
      <c r="P407" s="139" t="s">
        <v>175</v>
      </c>
      <c r="Q407" s="64"/>
    </row>
    <row r="408" spans="1:99" s="1" customFormat="1" ht="15">
      <c r="A408" s="87" t="s">
        <v>887</v>
      </c>
      <c r="B408" s="85" t="s">
        <v>888</v>
      </c>
      <c r="C408" s="85" t="s">
        <v>889</v>
      </c>
      <c r="D408" s="87" t="s">
        <v>1173</v>
      </c>
      <c r="E408" s="87">
        <v>1993</v>
      </c>
      <c r="F408" s="87" t="s">
        <v>253</v>
      </c>
      <c r="G408" s="87" t="s">
        <v>253</v>
      </c>
      <c r="H408" s="82" t="s">
        <v>936</v>
      </c>
      <c r="I408" s="48" t="s">
        <v>1114</v>
      </c>
      <c r="J408" s="53">
        <v>16.89</v>
      </c>
      <c r="K408" s="53" t="s">
        <v>253</v>
      </c>
      <c r="L408" s="53">
        <f t="shared" si="46"/>
        <v>78.981645944345772</v>
      </c>
      <c r="M408" s="53"/>
      <c r="N408" s="53">
        <f>16.89-3.55</f>
        <v>13.34</v>
      </c>
      <c r="O408" s="54" t="s">
        <v>253</v>
      </c>
      <c r="P408" s="139" t="s">
        <v>1826</v>
      </c>
      <c r="Q408" s="64"/>
    </row>
    <row r="409" spans="1:99" s="1" customFormat="1" ht="15">
      <c r="A409" s="87" t="s">
        <v>887</v>
      </c>
      <c r="B409" s="85" t="s">
        <v>888</v>
      </c>
      <c r="C409" s="85" t="s">
        <v>889</v>
      </c>
      <c r="D409" s="87" t="s">
        <v>1173</v>
      </c>
      <c r="E409" s="87">
        <v>1993</v>
      </c>
      <c r="F409" s="87" t="s">
        <v>253</v>
      </c>
      <c r="G409" s="87" t="s">
        <v>253</v>
      </c>
      <c r="H409" s="82" t="s">
        <v>936</v>
      </c>
      <c r="I409" s="48" t="s">
        <v>1115</v>
      </c>
      <c r="J409" s="53">
        <v>16.73</v>
      </c>
      <c r="K409" s="53" t="s">
        <v>253</v>
      </c>
      <c r="L409" s="53">
        <f t="shared" si="46"/>
        <v>21.458457860131499</v>
      </c>
      <c r="M409" s="53"/>
      <c r="N409" s="53">
        <f>16.73-13.14</f>
        <v>3.59</v>
      </c>
      <c r="O409" s="54" t="s">
        <v>253</v>
      </c>
      <c r="P409" s="139" t="s">
        <v>1826</v>
      </c>
      <c r="Q409" s="64"/>
    </row>
    <row r="410" spans="1:99" s="1" customFormat="1" ht="16" thickBot="1">
      <c r="A410" s="3"/>
      <c r="B410" s="5"/>
      <c r="C410" s="5"/>
      <c r="D410" s="3"/>
      <c r="E410" s="3"/>
      <c r="F410" s="3"/>
      <c r="G410" s="3"/>
      <c r="H410" s="57"/>
      <c r="I410" s="49" t="s">
        <v>1033</v>
      </c>
      <c r="J410" s="55">
        <v>33.6</v>
      </c>
      <c r="K410" s="55" t="s">
        <v>253</v>
      </c>
      <c r="L410" s="55">
        <v>50.3</v>
      </c>
      <c r="M410" s="55" t="s">
        <v>253</v>
      </c>
      <c r="N410" s="55">
        <f>SUM(N408:N409)</f>
        <v>16.93</v>
      </c>
      <c r="O410" s="56" t="s">
        <v>253</v>
      </c>
      <c r="P410" s="3"/>
      <c r="Q410" s="64"/>
    </row>
    <row r="411" spans="1:99" s="1" customFormat="1" ht="15">
      <c r="A411" s="3"/>
      <c r="B411" s="5"/>
      <c r="C411" s="5"/>
      <c r="D411" s="3"/>
      <c r="E411" s="3"/>
      <c r="F411" s="3"/>
      <c r="G411" s="3"/>
      <c r="H411" s="57"/>
      <c r="I411" s="57"/>
      <c r="J411" s="3"/>
      <c r="K411" s="3"/>
      <c r="L411" s="3"/>
      <c r="M411" s="3"/>
      <c r="N411" s="3"/>
      <c r="O411" s="3"/>
      <c r="P411" s="3"/>
      <c r="Q411" s="64"/>
    </row>
    <row r="412" spans="1:99" s="1" customFormat="1" ht="15">
      <c r="A412" s="293"/>
      <c r="B412" s="297"/>
      <c r="C412" s="297"/>
      <c r="D412" s="293"/>
      <c r="E412" s="293"/>
      <c r="F412" s="293"/>
      <c r="G412" s="293"/>
      <c r="H412" s="348"/>
      <c r="I412" s="348"/>
      <c r="J412" s="293"/>
      <c r="K412" s="293"/>
      <c r="L412" s="293"/>
      <c r="M412" s="293"/>
      <c r="N412" s="293"/>
      <c r="O412" s="293"/>
      <c r="P412" s="293"/>
      <c r="Q412" s="64"/>
    </row>
    <row r="413" spans="1:99" s="1" customFormat="1" ht="15">
      <c r="A413" s="3"/>
      <c r="B413" s="5"/>
      <c r="C413" s="5"/>
      <c r="D413" s="3"/>
      <c r="E413" s="3"/>
      <c r="F413" s="3"/>
      <c r="G413" s="3"/>
      <c r="H413" s="57"/>
      <c r="I413" s="57"/>
      <c r="J413" s="3"/>
      <c r="K413" s="3"/>
      <c r="L413" s="3"/>
      <c r="M413" s="3"/>
      <c r="N413" s="3"/>
      <c r="O413" s="3"/>
      <c r="P413" s="3"/>
      <c r="Q413" s="64"/>
    </row>
    <row r="414" spans="1:99" s="26" customFormat="1" ht="15">
      <c r="A414" s="19" t="s">
        <v>961</v>
      </c>
      <c r="B414" s="29" t="s">
        <v>962</v>
      </c>
      <c r="C414" s="29" t="s">
        <v>838</v>
      </c>
      <c r="D414" s="19" t="s">
        <v>839</v>
      </c>
      <c r="E414" s="19" t="s">
        <v>840</v>
      </c>
      <c r="F414" s="19" t="s">
        <v>1046</v>
      </c>
      <c r="G414" s="19" t="s">
        <v>1046</v>
      </c>
      <c r="H414" s="28" t="s">
        <v>1108</v>
      </c>
      <c r="I414" s="28" t="s">
        <v>696</v>
      </c>
      <c r="J414" s="22">
        <v>0.32</v>
      </c>
      <c r="K414" s="22">
        <v>0.08</v>
      </c>
      <c r="L414" s="22">
        <f>(N414/J414)*100</f>
        <v>100</v>
      </c>
      <c r="M414" s="22" t="s">
        <v>253</v>
      </c>
      <c r="N414" s="22">
        <v>0.32</v>
      </c>
      <c r="O414" s="22" t="s">
        <v>253</v>
      </c>
      <c r="P414" s="19" t="s">
        <v>697</v>
      </c>
      <c r="Q414" s="63"/>
    </row>
    <row r="415" spans="1:99" s="26" customFormat="1" ht="15">
      <c r="A415" s="19" t="s">
        <v>777</v>
      </c>
      <c r="B415" s="29" t="s">
        <v>962</v>
      </c>
      <c r="C415" s="29" t="s">
        <v>838</v>
      </c>
      <c r="D415" s="19" t="s">
        <v>839</v>
      </c>
      <c r="E415" s="19" t="s">
        <v>840</v>
      </c>
      <c r="F415" s="19" t="s">
        <v>1046</v>
      </c>
      <c r="G415" s="19" t="s">
        <v>1046</v>
      </c>
      <c r="H415" s="28" t="s">
        <v>936</v>
      </c>
      <c r="I415" s="28" t="s">
        <v>544</v>
      </c>
      <c r="J415" s="22">
        <v>1.6</v>
      </c>
      <c r="K415" s="22">
        <v>0.3</v>
      </c>
      <c r="L415" s="22">
        <f t="shared" ref="L415:L448" si="47">(N415/J415)*100</f>
        <v>100</v>
      </c>
      <c r="M415" s="22" t="s">
        <v>986</v>
      </c>
      <c r="N415" s="22">
        <v>1.6</v>
      </c>
      <c r="O415" s="22" t="s">
        <v>986</v>
      </c>
      <c r="P415" s="19" t="s">
        <v>697</v>
      </c>
      <c r="Q415" s="63"/>
    </row>
    <row r="416" spans="1:99" s="26" customFormat="1" ht="15">
      <c r="A416" s="19" t="s">
        <v>777</v>
      </c>
      <c r="B416" s="29" t="s">
        <v>962</v>
      </c>
      <c r="C416" s="29" t="s">
        <v>838</v>
      </c>
      <c r="D416" s="19" t="s">
        <v>839</v>
      </c>
      <c r="E416" s="19" t="s">
        <v>840</v>
      </c>
      <c r="F416" s="19" t="s">
        <v>1046</v>
      </c>
      <c r="G416" s="19" t="s">
        <v>1046</v>
      </c>
      <c r="H416" s="28" t="s">
        <v>936</v>
      </c>
      <c r="I416" s="28" t="s">
        <v>698</v>
      </c>
      <c r="J416" s="22">
        <v>4.82</v>
      </c>
      <c r="K416" s="22">
        <v>0.52</v>
      </c>
      <c r="L416" s="22">
        <f t="shared" si="47"/>
        <v>37.759336099585063</v>
      </c>
      <c r="M416" s="22" t="s">
        <v>986</v>
      </c>
      <c r="N416" s="22">
        <v>1.82</v>
      </c>
      <c r="O416" s="22" t="s">
        <v>986</v>
      </c>
      <c r="P416" s="19" t="s">
        <v>697</v>
      </c>
      <c r="Q416" s="63"/>
    </row>
    <row r="417" spans="1:17" s="26" customFormat="1" ht="15">
      <c r="A417" s="19" t="s">
        <v>777</v>
      </c>
      <c r="B417" s="29" t="s">
        <v>962</v>
      </c>
      <c r="C417" s="29" t="s">
        <v>838</v>
      </c>
      <c r="D417" s="19" t="s">
        <v>839</v>
      </c>
      <c r="E417" s="19" t="s">
        <v>840</v>
      </c>
      <c r="F417" s="19" t="s">
        <v>1046</v>
      </c>
      <c r="G417" s="19" t="s">
        <v>1046</v>
      </c>
      <c r="H417" s="28" t="s">
        <v>936</v>
      </c>
      <c r="I417" s="28" t="s">
        <v>1160</v>
      </c>
      <c r="J417" s="22">
        <v>34.840000000000003</v>
      </c>
      <c r="K417" s="22">
        <v>2.62</v>
      </c>
      <c r="L417" s="22">
        <f t="shared" si="47"/>
        <v>49.425947187141212</v>
      </c>
      <c r="M417" s="22" t="s">
        <v>986</v>
      </c>
      <c r="N417" s="22">
        <v>17.22</v>
      </c>
      <c r="O417" s="22" t="s">
        <v>986</v>
      </c>
      <c r="P417" s="19" t="s">
        <v>697</v>
      </c>
      <c r="Q417" s="63"/>
    </row>
    <row r="418" spans="1:17" s="26" customFormat="1" ht="15">
      <c r="A418" s="19" t="s">
        <v>777</v>
      </c>
      <c r="B418" s="29" t="s">
        <v>962</v>
      </c>
      <c r="C418" s="29" t="s">
        <v>838</v>
      </c>
      <c r="D418" s="19" t="s">
        <v>839</v>
      </c>
      <c r="E418" s="19" t="s">
        <v>840</v>
      </c>
      <c r="F418" s="19" t="s">
        <v>1046</v>
      </c>
      <c r="G418" s="19" t="s">
        <v>1046</v>
      </c>
      <c r="H418" s="28" t="s">
        <v>936</v>
      </c>
      <c r="I418" s="28" t="s">
        <v>485</v>
      </c>
      <c r="J418" s="22">
        <v>42.56</v>
      </c>
      <c r="K418" s="22" t="s">
        <v>1046</v>
      </c>
      <c r="L418" s="22">
        <f t="shared" si="47"/>
        <v>49.248120300751879</v>
      </c>
      <c r="M418" s="22" t="s">
        <v>986</v>
      </c>
      <c r="N418" s="22">
        <v>20.96</v>
      </c>
      <c r="O418" s="22" t="s">
        <v>986</v>
      </c>
      <c r="P418" s="19" t="s">
        <v>697</v>
      </c>
      <c r="Q418" s="63"/>
    </row>
    <row r="419" spans="1:17" s="26" customFormat="1" ht="15">
      <c r="A419" s="19" t="s">
        <v>961</v>
      </c>
      <c r="B419" s="29" t="s">
        <v>962</v>
      </c>
      <c r="C419" s="29" t="s">
        <v>838</v>
      </c>
      <c r="D419" s="19" t="s">
        <v>839</v>
      </c>
      <c r="E419" s="19" t="s">
        <v>840</v>
      </c>
      <c r="F419" s="19" t="s">
        <v>1046</v>
      </c>
      <c r="G419" s="19" t="s">
        <v>1046</v>
      </c>
      <c r="H419" s="28" t="s">
        <v>936</v>
      </c>
      <c r="I419" s="28" t="s">
        <v>1171</v>
      </c>
      <c r="J419" s="22">
        <v>0.56000000000000005</v>
      </c>
      <c r="K419" s="22">
        <v>0.12</v>
      </c>
      <c r="L419" s="22">
        <f t="shared" si="47"/>
        <v>100</v>
      </c>
      <c r="M419" s="22" t="s">
        <v>986</v>
      </c>
      <c r="N419" s="22">
        <v>0.56000000000000005</v>
      </c>
      <c r="O419" s="22" t="s">
        <v>986</v>
      </c>
      <c r="P419" s="19" t="s">
        <v>926</v>
      </c>
      <c r="Q419" s="63"/>
    </row>
    <row r="420" spans="1:17" s="26" customFormat="1" ht="15">
      <c r="A420" s="19" t="s">
        <v>777</v>
      </c>
      <c r="B420" s="29" t="s">
        <v>962</v>
      </c>
      <c r="C420" s="29" t="s">
        <v>838</v>
      </c>
      <c r="D420" s="19" t="s">
        <v>839</v>
      </c>
      <c r="E420" s="19" t="s">
        <v>840</v>
      </c>
      <c r="F420" s="19" t="s">
        <v>1046</v>
      </c>
      <c r="G420" s="19" t="s">
        <v>1046</v>
      </c>
      <c r="H420" s="28" t="s">
        <v>936</v>
      </c>
      <c r="I420" s="28" t="s">
        <v>544</v>
      </c>
      <c r="J420" s="22">
        <v>1.1000000000000001</v>
      </c>
      <c r="K420" s="22">
        <v>0.18</v>
      </c>
      <c r="L420" s="22">
        <f t="shared" si="47"/>
        <v>100</v>
      </c>
      <c r="M420" s="22" t="s">
        <v>986</v>
      </c>
      <c r="N420" s="22">
        <v>1.1000000000000001</v>
      </c>
      <c r="O420" s="22" t="s">
        <v>986</v>
      </c>
      <c r="P420" s="19" t="s">
        <v>926</v>
      </c>
      <c r="Q420" s="63"/>
    </row>
    <row r="421" spans="1:17" s="26" customFormat="1" ht="15">
      <c r="A421" s="19" t="s">
        <v>777</v>
      </c>
      <c r="B421" s="29" t="s">
        <v>962</v>
      </c>
      <c r="C421" s="29" t="s">
        <v>838</v>
      </c>
      <c r="D421" s="19" t="s">
        <v>839</v>
      </c>
      <c r="E421" s="19" t="s">
        <v>840</v>
      </c>
      <c r="F421" s="19" t="s">
        <v>1046</v>
      </c>
      <c r="G421" s="19" t="s">
        <v>1046</v>
      </c>
      <c r="H421" s="28" t="s">
        <v>936</v>
      </c>
      <c r="I421" s="28" t="s">
        <v>698</v>
      </c>
      <c r="J421" s="22">
        <v>8.32</v>
      </c>
      <c r="K421" s="22">
        <v>0.38</v>
      </c>
      <c r="L421" s="22">
        <f t="shared" si="47"/>
        <v>26.682692307692307</v>
      </c>
      <c r="M421" s="22" t="s">
        <v>986</v>
      </c>
      <c r="N421" s="22">
        <v>2.2200000000000002</v>
      </c>
      <c r="O421" s="22" t="s">
        <v>986</v>
      </c>
      <c r="P421" s="19" t="s">
        <v>926</v>
      </c>
      <c r="Q421" s="63"/>
    </row>
    <row r="422" spans="1:17" s="26" customFormat="1" ht="15">
      <c r="A422" s="19" t="s">
        <v>777</v>
      </c>
      <c r="B422" s="29" t="s">
        <v>962</v>
      </c>
      <c r="C422" s="29" t="s">
        <v>838</v>
      </c>
      <c r="D422" s="19" t="s">
        <v>839</v>
      </c>
      <c r="E422" s="19" t="s">
        <v>840</v>
      </c>
      <c r="F422" s="19" t="s">
        <v>1046</v>
      </c>
      <c r="G422" s="19" t="s">
        <v>1046</v>
      </c>
      <c r="H422" s="28" t="s">
        <v>936</v>
      </c>
      <c r="I422" s="28" t="s">
        <v>1160</v>
      </c>
      <c r="J422" s="22">
        <v>39.299999999999997</v>
      </c>
      <c r="K422" s="22">
        <v>3.68</v>
      </c>
      <c r="L422" s="22">
        <f t="shared" si="47"/>
        <v>46.972010178117053</v>
      </c>
      <c r="M422" s="22" t="s">
        <v>986</v>
      </c>
      <c r="N422" s="22">
        <v>18.46</v>
      </c>
      <c r="O422" s="22" t="s">
        <v>986</v>
      </c>
      <c r="P422" s="19" t="s">
        <v>926</v>
      </c>
      <c r="Q422" s="63"/>
    </row>
    <row r="423" spans="1:17" s="26" customFormat="1" ht="15">
      <c r="A423" s="19" t="s">
        <v>777</v>
      </c>
      <c r="B423" s="29" t="s">
        <v>962</v>
      </c>
      <c r="C423" s="29" t="s">
        <v>838</v>
      </c>
      <c r="D423" s="19" t="s">
        <v>839</v>
      </c>
      <c r="E423" s="19" t="s">
        <v>840</v>
      </c>
      <c r="F423" s="19" t="s">
        <v>1046</v>
      </c>
      <c r="G423" s="19" t="s">
        <v>1046</v>
      </c>
      <c r="H423" s="28" t="s">
        <v>936</v>
      </c>
      <c r="I423" s="28" t="s">
        <v>485</v>
      </c>
      <c r="J423" s="22">
        <v>49.26</v>
      </c>
      <c r="K423" s="22" t="s">
        <v>1046</v>
      </c>
      <c r="L423" s="22">
        <f t="shared" si="47"/>
        <v>45.35119772634998</v>
      </c>
      <c r="M423" s="22" t="s">
        <v>986</v>
      </c>
      <c r="N423" s="22">
        <v>22.34</v>
      </c>
      <c r="O423" s="22" t="s">
        <v>986</v>
      </c>
      <c r="P423" s="19" t="s">
        <v>926</v>
      </c>
      <c r="Q423" s="63"/>
    </row>
    <row r="424" spans="1:17" s="26" customFormat="1" ht="15">
      <c r="A424" s="19" t="s">
        <v>961</v>
      </c>
      <c r="B424" s="29" t="s">
        <v>962</v>
      </c>
      <c r="C424" s="29" t="s">
        <v>838</v>
      </c>
      <c r="D424" s="19" t="s">
        <v>839</v>
      </c>
      <c r="E424" s="19" t="s">
        <v>840</v>
      </c>
      <c r="F424" s="19" t="s">
        <v>1046</v>
      </c>
      <c r="G424" s="19" t="s">
        <v>1046</v>
      </c>
      <c r="H424" s="28" t="s">
        <v>936</v>
      </c>
      <c r="I424" s="28" t="s">
        <v>1171</v>
      </c>
      <c r="J424" s="22">
        <v>0.28000000000000003</v>
      </c>
      <c r="K424" s="22">
        <v>0.06</v>
      </c>
      <c r="L424" s="22">
        <f t="shared" si="47"/>
        <v>92.857142857142847</v>
      </c>
      <c r="M424" s="22" t="s">
        <v>986</v>
      </c>
      <c r="N424" s="22">
        <v>0.26</v>
      </c>
      <c r="O424" s="22" t="s">
        <v>986</v>
      </c>
      <c r="P424" s="19" t="s">
        <v>927</v>
      </c>
      <c r="Q424" s="63"/>
    </row>
    <row r="425" spans="1:17" s="26" customFormat="1" ht="15">
      <c r="A425" s="19" t="s">
        <v>777</v>
      </c>
      <c r="B425" s="29" t="s">
        <v>962</v>
      </c>
      <c r="C425" s="29" t="s">
        <v>838</v>
      </c>
      <c r="D425" s="19" t="s">
        <v>839</v>
      </c>
      <c r="E425" s="19" t="s">
        <v>840</v>
      </c>
      <c r="F425" s="19" t="s">
        <v>1046</v>
      </c>
      <c r="G425" s="19" t="s">
        <v>1046</v>
      </c>
      <c r="H425" s="28" t="s">
        <v>936</v>
      </c>
      <c r="I425" s="28" t="s">
        <v>544</v>
      </c>
      <c r="J425" s="22">
        <v>2.2599999999999998</v>
      </c>
      <c r="K425" s="22">
        <v>0.28000000000000003</v>
      </c>
      <c r="L425" s="22">
        <f t="shared" si="47"/>
        <v>99.115044247787637</v>
      </c>
      <c r="M425" s="22" t="s">
        <v>986</v>
      </c>
      <c r="N425" s="22">
        <v>2.2400000000000002</v>
      </c>
      <c r="O425" s="22" t="s">
        <v>986</v>
      </c>
      <c r="P425" s="19" t="s">
        <v>927</v>
      </c>
      <c r="Q425" s="63"/>
    </row>
    <row r="426" spans="1:17" s="26" customFormat="1" ht="15">
      <c r="A426" s="19" t="s">
        <v>777</v>
      </c>
      <c r="B426" s="29" t="s">
        <v>962</v>
      </c>
      <c r="C426" s="29" t="s">
        <v>838</v>
      </c>
      <c r="D426" s="19" t="s">
        <v>839</v>
      </c>
      <c r="E426" s="19" t="s">
        <v>840</v>
      </c>
      <c r="F426" s="19" t="s">
        <v>1046</v>
      </c>
      <c r="G426" s="19" t="s">
        <v>1046</v>
      </c>
      <c r="H426" s="28" t="s">
        <v>936</v>
      </c>
      <c r="I426" s="28" t="s">
        <v>698</v>
      </c>
      <c r="J426" s="22">
        <v>33.28</v>
      </c>
      <c r="K426" s="22">
        <v>6.38</v>
      </c>
      <c r="L426" s="22">
        <f t="shared" si="47"/>
        <v>45.012019230769226</v>
      </c>
      <c r="M426" s="22" t="s">
        <v>986</v>
      </c>
      <c r="N426" s="22">
        <v>14.98</v>
      </c>
      <c r="O426" s="22" t="s">
        <v>986</v>
      </c>
      <c r="P426" s="19" t="s">
        <v>927</v>
      </c>
      <c r="Q426" s="63"/>
    </row>
    <row r="427" spans="1:17" s="26" customFormat="1" ht="15">
      <c r="A427" s="19" t="s">
        <v>777</v>
      </c>
      <c r="B427" s="29" t="s">
        <v>962</v>
      </c>
      <c r="C427" s="29" t="s">
        <v>838</v>
      </c>
      <c r="D427" s="19" t="s">
        <v>839</v>
      </c>
      <c r="E427" s="19" t="s">
        <v>840</v>
      </c>
      <c r="F427" s="19" t="s">
        <v>1046</v>
      </c>
      <c r="G427" s="19" t="s">
        <v>1046</v>
      </c>
      <c r="H427" s="28" t="s">
        <v>936</v>
      </c>
      <c r="I427" s="28" t="s">
        <v>1160</v>
      </c>
      <c r="J427" s="22">
        <v>31.52</v>
      </c>
      <c r="K427" s="22">
        <v>1.98</v>
      </c>
      <c r="L427" s="22">
        <f t="shared" si="47"/>
        <v>43.781725888324871</v>
      </c>
      <c r="M427" s="22" t="s">
        <v>986</v>
      </c>
      <c r="N427" s="22">
        <v>13.8</v>
      </c>
      <c r="O427" s="22" t="s">
        <v>986</v>
      </c>
      <c r="P427" s="19" t="s">
        <v>927</v>
      </c>
      <c r="Q427" s="63"/>
    </row>
    <row r="428" spans="1:17" s="26" customFormat="1" ht="15">
      <c r="A428" s="19" t="s">
        <v>777</v>
      </c>
      <c r="B428" s="29" t="s">
        <v>962</v>
      </c>
      <c r="C428" s="29" t="s">
        <v>838</v>
      </c>
      <c r="D428" s="19" t="s">
        <v>839</v>
      </c>
      <c r="E428" s="19" t="s">
        <v>840</v>
      </c>
      <c r="F428" s="19" t="s">
        <v>1046</v>
      </c>
      <c r="G428" s="19" t="s">
        <v>1046</v>
      </c>
      <c r="H428" s="28" t="s">
        <v>936</v>
      </c>
      <c r="I428" s="28" t="s">
        <v>485</v>
      </c>
      <c r="J428" s="22">
        <v>67.3</v>
      </c>
      <c r="K428" s="22" t="s">
        <v>1046</v>
      </c>
      <c r="L428" s="22">
        <f t="shared" si="47"/>
        <v>47.22139673105498</v>
      </c>
      <c r="M428" s="22" t="s">
        <v>986</v>
      </c>
      <c r="N428" s="22">
        <v>31.78</v>
      </c>
      <c r="O428" s="22" t="s">
        <v>986</v>
      </c>
      <c r="P428" s="19" t="s">
        <v>927</v>
      </c>
      <c r="Q428" s="63"/>
    </row>
    <row r="429" spans="1:17" s="26" customFormat="1" ht="15">
      <c r="A429" s="19" t="s">
        <v>961</v>
      </c>
      <c r="B429" s="29" t="s">
        <v>962</v>
      </c>
      <c r="C429" s="29" t="s">
        <v>838</v>
      </c>
      <c r="D429" s="19" t="s">
        <v>839</v>
      </c>
      <c r="E429" s="19" t="s">
        <v>840</v>
      </c>
      <c r="F429" s="19" t="s">
        <v>1046</v>
      </c>
      <c r="G429" s="19" t="s">
        <v>1046</v>
      </c>
      <c r="H429" s="28" t="s">
        <v>936</v>
      </c>
      <c r="I429" s="28" t="s">
        <v>844</v>
      </c>
      <c r="J429" s="22">
        <v>0.26</v>
      </c>
      <c r="K429" s="22">
        <v>0.08</v>
      </c>
      <c r="L429" s="22">
        <f t="shared" si="47"/>
        <v>100</v>
      </c>
      <c r="M429" s="22" t="s">
        <v>986</v>
      </c>
      <c r="N429" s="22">
        <v>0.26</v>
      </c>
      <c r="O429" s="22" t="s">
        <v>986</v>
      </c>
      <c r="P429" s="19" t="s">
        <v>1155</v>
      </c>
      <c r="Q429" s="63"/>
    </row>
    <row r="430" spans="1:17" s="26" customFormat="1" ht="15">
      <c r="A430" s="19" t="s">
        <v>777</v>
      </c>
      <c r="B430" s="29" t="s">
        <v>962</v>
      </c>
      <c r="C430" s="29" t="s">
        <v>838</v>
      </c>
      <c r="D430" s="19" t="s">
        <v>839</v>
      </c>
      <c r="E430" s="19" t="s">
        <v>840</v>
      </c>
      <c r="F430" s="19" t="s">
        <v>1046</v>
      </c>
      <c r="G430" s="19" t="s">
        <v>1046</v>
      </c>
      <c r="H430" s="28" t="s">
        <v>936</v>
      </c>
      <c r="I430" s="28" t="s">
        <v>544</v>
      </c>
      <c r="J430" s="22">
        <v>2.62</v>
      </c>
      <c r="K430" s="22">
        <v>0.38</v>
      </c>
      <c r="L430" s="22">
        <f t="shared" si="47"/>
        <v>100</v>
      </c>
      <c r="M430" s="22" t="s">
        <v>986</v>
      </c>
      <c r="N430" s="22">
        <v>2.62</v>
      </c>
      <c r="O430" s="22" t="s">
        <v>986</v>
      </c>
      <c r="P430" s="19" t="s">
        <v>1155</v>
      </c>
      <c r="Q430" s="63"/>
    </row>
    <row r="431" spans="1:17" s="26" customFormat="1" ht="15">
      <c r="A431" s="19" t="s">
        <v>777</v>
      </c>
      <c r="B431" s="29" t="s">
        <v>962</v>
      </c>
      <c r="C431" s="29" t="s">
        <v>838</v>
      </c>
      <c r="D431" s="19" t="s">
        <v>839</v>
      </c>
      <c r="E431" s="19" t="s">
        <v>840</v>
      </c>
      <c r="F431" s="19" t="s">
        <v>1046</v>
      </c>
      <c r="G431" s="19" t="s">
        <v>1046</v>
      </c>
      <c r="H431" s="28" t="s">
        <v>936</v>
      </c>
      <c r="I431" s="28" t="s">
        <v>698</v>
      </c>
      <c r="J431" s="22">
        <v>18.440000000000001</v>
      </c>
      <c r="K431" s="22">
        <v>5.16</v>
      </c>
      <c r="L431" s="22">
        <f t="shared" si="47"/>
        <v>12.472885032537958</v>
      </c>
      <c r="M431" s="22" t="s">
        <v>986</v>
      </c>
      <c r="N431" s="22">
        <v>2.2999999999999998</v>
      </c>
      <c r="O431" s="22" t="s">
        <v>986</v>
      </c>
      <c r="P431" s="19" t="s">
        <v>1155</v>
      </c>
      <c r="Q431" s="63"/>
    </row>
    <row r="432" spans="1:17" s="26" customFormat="1" ht="15">
      <c r="A432" s="19" t="s">
        <v>777</v>
      </c>
      <c r="B432" s="29" t="s">
        <v>962</v>
      </c>
      <c r="C432" s="29" t="s">
        <v>838</v>
      </c>
      <c r="D432" s="19" t="s">
        <v>839</v>
      </c>
      <c r="E432" s="19" t="s">
        <v>840</v>
      </c>
      <c r="F432" s="19" t="s">
        <v>1046</v>
      </c>
      <c r="G432" s="19" t="s">
        <v>1046</v>
      </c>
      <c r="H432" s="28" t="s">
        <v>936</v>
      </c>
      <c r="I432" s="28" t="s">
        <v>1160</v>
      </c>
      <c r="J432" s="22">
        <v>24.2</v>
      </c>
      <c r="K432" s="22">
        <v>1.9</v>
      </c>
      <c r="L432" s="22">
        <f t="shared" si="47"/>
        <v>16.611570247933884</v>
      </c>
      <c r="M432" s="22" t="s">
        <v>986</v>
      </c>
      <c r="N432" s="22">
        <v>4.0199999999999996</v>
      </c>
      <c r="O432" s="22" t="s">
        <v>986</v>
      </c>
      <c r="P432" s="19" t="s">
        <v>1155</v>
      </c>
      <c r="Q432" s="63"/>
    </row>
    <row r="433" spans="1:17" s="26" customFormat="1" ht="15">
      <c r="A433" s="19" t="s">
        <v>777</v>
      </c>
      <c r="B433" s="29" t="s">
        <v>962</v>
      </c>
      <c r="C433" s="29" t="s">
        <v>838</v>
      </c>
      <c r="D433" s="19" t="s">
        <v>839</v>
      </c>
      <c r="E433" s="19" t="s">
        <v>840</v>
      </c>
      <c r="F433" s="19" t="s">
        <v>1046</v>
      </c>
      <c r="G433" s="19" t="s">
        <v>1046</v>
      </c>
      <c r="H433" s="28" t="s">
        <v>936</v>
      </c>
      <c r="I433" s="28" t="s">
        <v>485</v>
      </c>
      <c r="J433" s="22">
        <v>45.4</v>
      </c>
      <c r="K433" s="22" t="s">
        <v>1046</v>
      </c>
      <c r="L433" s="22">
        <f t="shared" si="47"/>
        <v>20.264317180616739</v>
      </c>
      <c r="M433" s="22" t="s">
        <v>986</v>
      </c>
      <c r="N433" s="22">
        <v>9.1999999999999993</v>
      </c>
      <c r="O433" s="22" t="s">
        <v>986</v>
      </c>
      <c r="P433" s="19" t="s">
        <v>1155</v>
      </c>
      <c r="Q433" s="63"/>
    </row>
    <row r="434" spans="1:17" s="26" customFormat="1" ht="15">
      <c r="A434" s="19" t="s">
        <v>961</v>
      </c>
      <c r="B434" s="29" t="s">
        <v>962</v>
      </c>
      <c r="C434" s="29" t="s">
        <v>838</v>
      </c>
      <c r="D434" s="19" t="s">
        <v>839</v>
      </c>
      <c r="E434" s="19" t="s">
        <v>840</v>
      </c>
      <c r="F434" s="19" t="s">
        <v>1046</v>
      </c>
      <c r="G434" s="19" t="s">
        <v>1046</v>
      </c>
      <c r="H434" s="28" t="s">
        <v>936</v>
      </c>
      <c r="I434" s="28" t="s">
        <v>1171</v>
      </c>
      <c r="J434" s="22">
        <v>0.34</v>
      </c>
      <c r="K434" s="22">
        <v>0.06</v>
      </c>
      <c r="L434" s="22">
        <f t="shared" si="47"/>
        <v>94.117647058823522</v>
      </c>
      <c r="M434" s="22" t="s">
        <v>986</v>
      </c>
      <c r="N434" s="22">
        <v>0.32</v>
      </c>
      <c r="O434" s="22" t="s">
        <v>986</v>
      </c>
      <c r="P434" s="19" t="s">
        <v>1026</v>
      </c>
      <c r="Q434" s="63"/>
    </row>
    <row r="435" spans="1:17" s="26" customFormat="1" ht="15">
      <c r="A435" s="19" t="s">
        <v>777</v>
      </c>
      <c r="B435" s="29" t="s">
        <v>962</v>
      </c>
      <c r="C435" s="29" t="s">
        <v>838</v>
      </c>
      <c r="D435" s="19" t="s">
        <v>839</v>
      </c>
      <c r="E435" s="19" t="s">
        <v>840</v>
      </c>
      <c r="F435" s="19" t="s">
        <v>1046</v>
      </c>
      <c r="G435" s="19" t="s">
        <v>1046</v>
      </c>
      <c r="H435" s="28" t="s">
        <v>936</v>
      </c>
      <c r="I435" s="28" t="s">
        <v>544</v>
      </c>
      <c r="J435" s="22">
        <v>2.12</v>
      </c>
      <c r="K435" s="22">
        <v>0.42</v>
      </c>
      <c r="L435" s="22">
        <f t="shared" si="47"/>
        <v>99.056603773584911</v>
      </c>
      <c r="M435" s="22" t="s">
        <v>986</v>
      </c>
      <c r="N435" s="22">
        <v>2.1</v>
      </c>
      <c r="O435" s="22" t="s">
        <v>986</v>
      </c>
      <c r="P435" s="19" t="s">
        <v>1026</v>
      </c>
      <c r="Q435" s="63"/>
    </row>
    <row r="436" spans="1:17" s="26" customFormat="1" ht="15">
      <c r="A436" s="19" t="s">
        <v>777</v>
      </c>
      <c r="B436" s="29" t="s">
        <v>962</v>
      </c>
      <c r="C436" s="29" t="s">
        <v>838</v>
      </c>
      <c r="D436" s="19" t="s">
        <v>839</v>
      </c>
      <c r="E436" s="19" t="s">
        <v>840</v>
      </c>
      <c r="F436" s="19" t="s">
        <v>1046</v>
      </c>
      <c r="G436" s="19" t="s">
        <v>1046</v>
      </c>
      <c r="H436" s="28" t="s">
        <v>936</v>
      </c>
      <c r="I436" s="28" t="s">
        <v>698</v>
      </c>
      <c r="J436" s="22">
        <v>19.48</v>
      </c>
      <c r="K436" s="22">
        <v>8.6</v>
      </c>
      <c r="L436" s="22">
        <f t="shared" si="47"/>
        <v>13.552361396303903</v>
      </c>
      <c r="M436" s="22" t="s">
        <v>986</v>
      </c>
      <c r="N436" s="22">
        <v>2.64</v>
      </c>
      <c r="O436" s="22" t="s">
        <v>986</v>
      </c>
      <c r="P436" s="19" t="s">
        <v>1026</v>
      </c>
      <c r="Q436" s="63"/>
    </row>
    <row r="437" spans="1:17" s="26" customFormat="1" ht="15">
      <c r="A437" s="19" t="s">
        <v>777</v>
      </c>
      <c r="B437" s="29" t="s">
        <v>962</v>
      </c>
      <c r="C437" s="29" t="s">
        <v>838</v>
      </c>
      <c r="D437" s="19" t="s">
        <v>839</v>
      </c>
      <c r="E437" s="19" t="s">
        <v>840</v>
      </c>
      <c r="F437" s="19" t="s">
        <v>1046</v>
      </c>
      <c r="G437" s="19" t="s">
        <v>1046</v>
      </c>
      <c r="H437" s="28" t="s">
        <v>936</v>
      </c>
      <c r="I437" s="28" t="s">
        <v>1160</v>
      </c>
      <c r="J437" s="22">
        <v>21.96</v>
      </c>
      <c r="K437" s="22">
        <v>1.74</v>
      </c>
      <c r="L437" s="22">
        <f t="shared" si="47"/>
        <v>24.772313296903462</v>
      </c>
      <c r="M437" s="22" t="s">
        <v>986</v>
      </c>
      <c r="N437" s="22">
        <v>5.44</v>
      </c>
      <c r="O437" s="22" t="s">
        <v>986</v>
      </c>
      <c r="P437" s="19" t="s">
        <v>1026</v>
      </c>
      <c r="Q437" s="63"/>
    </row>
    <row r="438" spans="1:17" s="26" customFormat="1" ht="15">
      <c r="A438" s="19" t="s">
        <v>777</v>
      </c>
      <c r="B438" s="29" t="s">
        <v>962</v>
      </c>
      <c r="C438" s="29" t="s">
        <v>838</v>
      </c>
      <c r="D438" s="19" t="s">
        <v>839</v>
      </c>
      <c r="E438" s="19" t="s">
        <v>840</v>
      </c>
      <c r="F438" s="19" t="s">
        <v>1046</v>
      </c>
      <c r="G438" s="19" t="s">
        <v>1046</v>
      </c>
      <c r="H438" s="28" t="s">
        <v>936</v>
      </c>
      <c r="I438" s="28" t="s">
        <v>485</v>
      </c>
      <c r="J438" s="22">
        <v>43.84</v>
      </c>
      <c r="K438" s="22" t="s">
        <v>1046</v>
      </c>
      <c r="L438" s="22">
        <f t="shared" si="47"/>
        <v>23.950729927007298</v>
      </c>
      <c r="M438" s="22" t="s">
        <v>986</v>
      </c>
      <c r="N438" s="22">
        <v>10.5</v>
      </c>
      <c r="O438" s="22" t="s">
        <v>986</v>
      </c>
      <c r="P438" s="19" t="s">
        <v>1026</v>
      </c>
      <c r="Q438" s="63"/>
    </row>
    <row r="439" spans="1:17" s="26" customFormat="1" ht="15">
      <c r="A439" s="19" t="s">
        <v>961</v>
      </c>
      <c r="B439" s="29" t="s">
        <v>962</v>
      </c>
      <c r="C439" s="29" t="s">
        <v>838</v>
      </c>
      <c r="D439" s="19" t="s">
        <v>839</v>
      </c>
      <c r="E439" s="19" t="s">
        <v>840</v>
      </c>
      <c r="F439" s="19" t="s">
        <v>1046</v>
      </c>
      <c r="G439" s="19" t="s">
        <v>1046</v>
      </c>
      <c r="H439" s="28" t="s">
        <v>936</v>
      </c>
      <c r="I439" s="28" t="s">
        <v>1171</v>
      </c>
      <c r="J439" s="22">
        <v>0.32</v>
      </c>
      <c r="K439" s="22">
        <v>0.06</v>
      </c>
      <c r="L439" s="22">
        <f t="shared" si="47"/>
        <v>100</v>
      </c>
      <c r="M439" s="22" t="s">
        <v>986</v>
      </c>
      <c r="N439" s="22">
        <v>0.32</v>
      </c>
      <c r="O439" s="22" t="s">
        <v>986</v>
      </c>
      <c r="P439" s="19" t="s">
        <v>1334</v>
      </c>
      <c r="Q439" s="63"/>
    </row>
    <row r="440" spans="1:17" s="26" customFormat="1" ht="15">
      <c r="A440" s="19" t="s">
        <v>777</v>
      </c>
      <c r="B440" s="29" t="s">
        <v>962</v>
      </c>
      <c r="C440" s="29" t="s">
        <v>838</v>
      </c>
      <c r="D440" s="19" t="s">
        <v>839</v>
      </c>
      <c r="E440" s="19" t="s">
        <v>840</v>
      </c>
      <c r="F440" s="19" t="s">
        <v>1046</v>
      </c>
      <c r="G440" s="19" t="s">
        <v>1046</v>
      </c>
      <c r="H440" s="28" t="s">
        <v>936</v>
      </c>
      <c r="I440" s="28" t="s">
        <v>544</v>
      </c>
      <c r="J440" s="22">
        <v>1.4</v>
      </c>
      <c r="K440" s="22">
        <v>0.18</v>
      </c>
      <c r="L440" s="22">
        <f t="shared" si="47"/>
        <v>100</v>
      </c>
      <c r="M440" s="22" t="s">
        <v>986</v>
      </c>
      <c r="N440" s="22">
        <v>1.4</v>
      </c>
      <c r="O440" s="22" t="s">
        <v>986</v>
      </c>
      <c r="P440" s="19" t="s">
        <v>1334</v>
      </c>
      <c r="Q440" s="63"/>
    </row>
    <row r="441" spans="1:17" s="26" customFormat="1" ht="15">
      <c r="A441" s="19" t="s">
        <v>777</v>
      </c>
      <c r="B441" s="29" t="s">
        <v>962</v>
      </c>
      <c r="C441" s="29" t="s">
        <v>838</v>
      </c>
      <c r="D441" s="19" t="s">
        <v>839</v>
      </c>
      <c r="E441" s="19" t="s">
        <v>840</v>
      </c>
      <c r="F441" s="19" t="s">
        <v>1046</v>
      </c>
      <c r="G441" s="19" t="s">
        <v>1046</v>
      </c>
      <c r="H441" s="28" t="s">
        <v>936</v>
      </c>
      <c r="I441" s="28" t="s">
        <v>698</v>
      </c>
      <c r="J441" s="22">
        <v>22.44</v>
      </c>
      <c r="K441" s="22">
        <v>4.88</v>
      </c>
      <c r="L441" s="22">
        <f t="shared" si="47"/>
        <v>12.923351158645275</v>
      </c>
      <c r="M441" s="22" t="s">
        <v>986</v>
      </c>
      <c r="N441" s="22">
        <v>2.9</v>
      </c>
      <c r="O441" s="22" t="s">
        <v>986</v>
      </c>
      <c r="P441" s="19" t="s">
        <v>1334</v>
      </c>
      <c r="Q441" s="63"/>
    </row>
    <row r="442" spans="1:17" s="26" customFormat="1" ht="15">
      <c r="A442" s="19" t="s">
        <v>777</v>
      </c>
      <c r="B442" s="29" t="s">
        <v>962</v>
      </c>
      <c r="C442" s="29" t="s">
        <v>838</v>
      </c>
      <c r="D442" s="19" t="s">
        <v>839</v>
      </c>
      <c r="E442" s="19" t="s">
        <v>840</v>
      </c>
      <c r="F442" s="19" t="s">
        <v>1046</v>
      </c>
      <c r="G442" s="19" t="s">
        <v>1046</v>
      </c>
      <c r="H442" s="28" t="s">
        <v>936</v>
      </c>
      <c r="I442" s="28" t="s">
        <v>1160</v>
      </c>
      <c r="J442" s="22">
        <v>30.16</v>
      </c>
      <c r="K442" s="22">
        <v>3.76</v>
      </c>
      <c r="L442" s="22">
        <f t="shared" si="47"/>
        <v>14.389920424403183</v>
      </c>
      <c r="M442" s="22" t="s">
        <v>986</v>
      </c>
      <c r="N442" s="22">
        <v>4.34</v>
      </c>
      <c r="O442" s="22" t="s">
        <v>986</v>
      </c>
      <c r="P442" s="19" t="s">
        <v>1334</v>
      </c>
      <c r="Q442" s="63"/>
    </row>
    <row r="443" spans="1:17" s="26" customFormat="1" ht="15">
      <c r="A443" s="19" t="s">
        <v>777</v>
      </c>
      <c r="B443" s="29" t="s">
        <v>962</v>
      </c>
      <c r="C443" s="29" t="s">
        <v>838</v>
      </c>
      <c r="D443" s="19" t="s">
        <v>839</v>
      </c>
      <c r="E443" s="19" t="s">
        <v>840</v>
      </c>
      <c r="F443" s="19" t="s">
        <v>1046</v>
      </c>
      <c r="G443" s="19" t="s">
        <v>1046</v>
      </c>
      <c r="H443" s="28" t="s">
        <v>936</v>
      </c>
      <c r="I443" s="28" t="s">
        <v>485</v>
      </c>
      <c r="J443" s="22">
        <v>54.3</v>
      </c>
      <c r="K443" s="22" t="s">
        <v>1046</v>
      </c>
      <c r="L443" s="22">
        <f t="shared" si="47"/>
        <v>16.500920810313076</v>
      </c>
      <c r="M443" s="22" t="s">
        <v>986</v>
      </c>
      <c r="N443" s="22">
        <v>8.9600000000000009</v>
      </c>
      <c r="O443" s="22" t="s">
        <v>986</v>
      </c>
      <c r="P443" s="19" t="s">
        <v>1334</v>
      </c>
      <c r="Q443" s="63"/>
    </row>
    <row r="444" spans="1:17" s="26" customFormat="1" ht="15">
      <c r="A444" s="19" t="s">
        <v>961</v>
      </c>
      <c r="B444" s="29" t="s">
        <v>962</v>
      </c>
      <c r="C444" s="29" t="s">
        <v>838</v>
      </c>
      <c r="D444" s="19" t="s">
        <v>839</v>
      </c>
      <c r="E444" s="19" t="s">
        <v>840</v>
      </c>
      <c r="F444" s="19" t="s">
        <v>1046</v>
      </c>
      <c r="G444" s="19" t="s">
        <v>1046</v>
      </c>
      <c r="H444" s="28" t="s">
        <v>936</v>
      </c>
      <c r="I444" s="28" t="s">
        <v>1171</v>
      </c>
      <c r="J444" s="22">
        <v>0.34</v>
      </c>
      <c r="K444" s="22">
        <v>0.06</v>
      </c>
      <c r="L444" s="22">
        <f t="shared" si="47"/>
        <v>100</v>
      </c>
      <c r="M444" s="22" t="s">
        <v>986</v>
      </c>
      <c r="N444" s="22">
        <v>0.34</v>
      </c>
      <c r="O444" s="22" t="s">
        <v>986</v>
      </c>
      <c r="P444" s="19" t="s">
        <v>1436</v>
      </c>
      <c r="Q444" s="63"/>
    </row>
    <row r="445" spans="1:17" s="26" customFormat="1" ht="15">
      <c r="A445" s="19" t="s">
        <v>777</v>
      </c>
      <c r="B445" s="29" t="s">
        <v>962</v>
      </c>
      <c r="C445" s="29" t="s">
        <v>838</v>
      </c>
      <c r="D445" s="19" t="s">
        <v>839</v>
      </c>
      <c r="E445" s="19" t="s">
        <v>840</v>
      </c>
      <c r="F445" s="19" t="s">
        <v>1046</v>
      </c>
      <c r="G445" s="19" t="s">
        <v>1046</v>
      </c>
      <c r="H445" s="28" t="s">
        <v>936</v>
      </c>
      <c r="I445" s="28" t="s">
        <v>544</v>
      </c>
      <c r="J445" s="22">
        <v>1.5</v>
      </c>
      <c r="K445" s="22">
        <v>0.22</v>
      </c>
      <c r="L445" s="22">
        <f t="shared" si="47"/>
        <v>100</v>
      </c>
      <c r="M445" s="22" t="s">
        <v>986</v>
      </c>
      <c r="N445" s="22">
        <v>1.5</v>
      </c>
      <c r="O445" s="22" t="s">
        <v>986</v>
      </c>
      <c r="P445" s="19" t="s">
        <v>1436</v>
      </c>
      <c r="Q445" s="63"/>
    </row>
    <row r="446" spans="1:17" s="26" customFormat="1" ht="15">
      <c r="A446" s="19" t="s">
        <v>777</v>
      </c>
      <c r="B446" s="29" t="s">
        <v>962</v>
      </c>
      <c r="C446" s="29" t="s">
        <v>838</v>
      </c>
      <c r="D446" s="19" t="s">
        <v>839</v>
      </c>
      <c r="E446" s="19" t="s">
        <v>840</v>
      </c>
      <c r="F446" s="19" t="s">
        <v>1046</v>
      </c>
      <c r="G446" s="19" t="s">
        <v>1046</v>
      </c>
      <c r="H446" s="28" t="s">
        <v>936</v>
      </c>
      <c r="I446" s="28" t="s">
        <v>698</v>
      </c>
      <c r="J446" s="22">
        <v>27.98</v>
      </c>
      <c r="K446" s="22">
        <v>10.5</v>
      </c>
      <c r="L446" s="22">
        <f t="shared" si="47"/>
        <v>7.9342387419585423</v>
      </c>
      <c r="M446" s="22" t="s">
        <v>986</v>
      </c>
      <c r="N446" s="22">
        <v>2.2200000000000002</v>
      </c>
      <c r="O446" s="22" t="s">
        <v>986</v>
      </c>
      <c r="P446" s="19" t="s">
        <v>1436</v>
      </c>
      <c r="Q446" s="63"/>
    </row>
    <row r="447" spans="1:17" s="26" customFormat="1" ht="15">
      <c r="A447" s="19" t="s">
        <v>777</v>
      </c>
      <c r="B447" s="29" t="s">
        <v>962</v>
      </c>
      <c r="C447" s="29" t="s">
        <v>838</v>
      </c>
      <c r="D447" s="19" t="s">
        <v>839</v>
      </c>
      <c r="E447" s="19" t="s">
        <v>840</v>
      </c>
      <c r="F447" s="19" t="s">
        <v>1046</v>
      </c>
      <c r="G447" s="19" t="s">
        <v>1046</v>
      </c>
      <c r="H447" s="28" t="s">
        <v>936</v>
      </c>
      <c r="I447" s="28" t="s">
        <v>1160</v>
      </c>
      <c r="J447" s="22">
        <v>45.16</v>
      </c>
      <c r="K447" s="22">
        <v>3.44</v>
      </c>
      <c r="L447" s="22">
        <f t="shared" si="47"/>
        <v>18.733392382639508</v>
      </c>
      <c r="M447" s="22" t="s">
        <v>986</v>
      </c>
      <c r="N447" s="22">
        <v>8.4600000000000009</v>
      </c>
      <c r="O447" s="22" t="s">
        <v>986</v>
      </c>
      <c r="P447" s="19" t="s">
        <v>1436</v>
      </c>
      <c r="Q447" s="63"/>
    </row>
    <row r="448" spans="1:17" s="26" customFormat="1" ht="16" thickBot="1">
      <c r="A448" s="19" t="s">
        <v>777</v>
      </c>
      <c r="B448" s="29" t="s">
        <v>962</v>
      </c>
      <c r="C448" s="29" t="s">
        <v>838</v>
      </c>
      <c r="D448" s="19" t="s">
        <v>839</v>
      </c>
      <c r="E448" s="19" t="s">
        <v>840</v>
      </c>
      <c r="F448" s="19" t="s">
        <v>1046</v>
      </c>
      <c r="G448" s="19" t="s">
        <v>1046</v>
      </c>
      <c r="H448" s="28" t="s">
        <v>936</v>
      </c>
      <c r="I448" s="69" t="s">
        <v>485</v>
      </c>
      <c r="J448" s="45">
        <v>74.959999999999994</v>
      </c>
      <c r="K448" s="45" t="s">
        <v>1046</v>
      </c>
      <c r="L448" s="45">
        <f t="shared" si="47"/>
        <v>17.342582710779084</v>
      </c>
      <c r="M448" s="45" t="s">
        <v>986</v>
      </c>
      <c r="N448" s="45">
        <v>13</v>
      </c>
      <c r="O448" s="45" t="s">
        <v>1046</v>
      </c>
      <c r="P448" s="19" t="s">
        <v>1436</v>
      </c>
      <c r="Q448" s="63"/>
    </row>
    <row r="449" spans="1:17" s="1" customFormat="1" ht="15">
      <c r="A449" s="3"/>
      <c r="B449" s="5"/>
      <c r="C449" s="5"/>
      <c r="D449" s="3"/>
      <c r="E449" s="3"/>
      <c r="F449" s="3"/>
      <c r="G449" s="3"/>
      <c r="H449" s="57"/>
      <c r="I449" s="47" t="s">
        <v>696</v>
      </c>
      <c r="J449" s="51">
        <f>ROUND(AVERAGE(J414,J419,J424,J429,J434,J439,J444),1)</f>
        <v>0.3</v>
      </c>
      <c r="K449" s="51">
        <f>ROUND(STDEV(J414,J419,J424,J429,J434,J439,J444),1)</f>
        <v>0.1</v>
      </c>
      <c r="L449" s="51">
        <f>ROUND(AVERAGE(L414,L419,L424,L429,L434,L439,L444),1)</f>
        <v>98.1</v>
      </c>
      <c r="M449" s="51">
        <f>ROUND(STDEV(L414,L419,L424,L429,L434,L439,L444),1)</f>
        <v>3.2</v>
      </c>
      <c r="N449" s="51">
        <f>ROUND(AVERAGE(N414,N419,N424,N429,N434,N439,N444),1)</f>
        <v>0.3</v>
      </c>
      <c r="O449" s="52">
        <f>ROUND(STDEV(N414,N419,N424,N429,N434,N439,N444),1)</f>
        <v>0.1</v>
      </c>
      <c r="P449" s="3"/>
      <c r="Q449" s="64"/>
    </row>
    <row r="450" spans="1:17" s="1" customFormat="1" ht="15">
      <c r="A450" s="3"/>
      <c r="B450" s="5"/>
      <c r="C450" s="5"/>
      <c r="D450" s="3"/>
      <c r="E450" s="3"/>
      <c r="F450" s="3"/>
      <c r="G450" s="3"/>
      <c r="H450" s="57"/>
      <c r="I450" s="48" t="s">
        <v>544</v>
      </c>
      <c r="J450" s="53">
        <f t="shared" ref="J450:J453" si="48">ROUND(AVERAGE(J415,J420,J425,J430,J435,J440,J445),1)</f>
        <v>1.8</v>
      </c>
      <c r="K450" s="53">
        <f t="shared" ref="K450:K453" si="49">ROUND(STDEV(J415,J420,J425,J430,J435,J440,J445),1)</f>
        <v>0.5</v>
      </c>
      <c r="L450" s="53">
        <f t="shared" ref="L450:L453" si="50">ROUND(AVERAGE(L415,L420,L425,L430,L435,L440,L445),1)</f>
        <v>99.7</v>
      </c>
      <c r="M450" s="53">
        <f t="shared" ref="M450:M453" si="51">ROUND(STDEV(L415,L420,L425,L430,L435,L440,L445),1)</f>
        <v>0.4</v>
      </c>
      <c r="N450" s="53">
        <f t="shared" ref="N450:N453" si="52">ROUND(AVERAGE(N415,N420,N425,N430,N435,N440,N445),1)</f>
        <v>1.8</v>
      </c>
      <c r="O450" s="54">
        <f t="shared" ref="O450:O453" si="53">ROUND(STDEV(N415,N420,N425,N430,N435,N440,N445),1)</f>
        <v>0.5</v>
      </c>
      <c r="P450" s="3"/>
      <c r="Q450" s="64"/>
    </row>
    <row r="451" spans="1:17" s="1" customFormat="1" ht="15">
      <c r="A451" s="3"/>
      <c r="B451" s="5"/>
      <c r="C451" s="5"/>
      <c r="D451" s="3"/>
      <c r="E451" s="3"/>
      <c r="F451" s="3"/>
      <c r="G451" s="3"/>
      <c r="H451" s="57"/>
      <c r="I451" s="48" t="s">
        <v>1437</v>
      </c>
      <c r="J451" s="53">
        <f t="shared" si="48"/>
        <v>19.3</v>
      </c>
      <c r="K451" s="53">
        <f t="shared" si="49"/>
        <v>10.1</v>
      </c>
      <c r="L451" s="53">
        <f t="shared" si="50"/>
        <v>22.3</v>
      </c>
      <c r="M451" s="53">
        <f t="shared" si="51"/>
        <v>14.4</v>
      </c>
      <c r="N451" s="53">
        <f t="shared" si="52"/>
        <v>4.2</v>
      </c>
      <c r="O451" s="54">
        <f t="shared" si="53"/>
        <v>4.8</v>
      </c>
      <c r="P451" s="3"/>
      <c r="Q451" s="64"/>
    </row>
    <row r="452" spans="1:17" s="1" customFormat="1" ht="15">
      <c r="A452" s="3"/>
      <c r="B452" s="5"/>
      <c r="C452" s="5"/>
      <c r="D452" s="3"/>
      <c r="E452" s="3"/>
      <c r="F452" s="3"/>
      <c r="G452" s="3"/>
      <c r="H452" s="57"/>
      <c r="I452" s="48" t="s">
        <v>1137</v>
      </c>
      <c r="J452" s="53">
        <f t="shared" si="48"/>
        <v>32.4</v>
      </c>
      <c r="K452" s="53">
        <f t="shared" si="49"/>
        <v>8.1</v>
      </c>
      <c r="L452" s="53">
        <f t="shared" si="50"/>
        <v>30.7</v>
      </c>
      <c r="M452" s="53">
        <f t="shared" si="51"/>
        <v>15.4</v>
      </c>
      <c r="N452" s="53">
        <f t="shared" si="52"/>
        <v>10.199999999999999</v>
      </c>
      <c r="O452" s="54">
        <f t="shared" si="53"/>
        <v>6.2</v>
      </c>
      <c r="P452" s="3"/>
      <c r="Q452" s="64"/>
    </row>
    <row r="453" spans="1:17" s="1" customFormat="1" ht="16" thickBot="1">
      <c r="A453" s="3"/>
      <c r="B453" s="5"/>
      <c r="C453" s="5"/>
      <c r="D453" s="3"/>
      <c r="E453" s="3"/>
      <c r="F453" s="3"/>
      <c r="G453" s="3"/>
      <c r="H453" s="57"/>
      <c r="I453" s="49" t="s">
        <v>213</v>
      </c>
      <c r="J453" s="55">
        <f t="shared" si="48"/>
        <v>53.9</v>
      </c>
      <c r="K453" s="55">
        <f t="shared" si="49"/>
        <v>12.6</v>
      </c>
      <c r="L453" s="55">
        <f t="shared" si="50"/>
        <v>31.4</v>
      </c>
      <c r="M453" s="55">
        <f t="shared" si="51"/>
        <v>15.1</v>
      </c>
      <c r="N453" s="55">
        <f t="shared" si="52"/>
        <v>16.7</v>
      </c>
      <c r="O453" s="56">
        <f t="shared" si="53"/>
        <v>8.6</v>
      </c>
      <c r="P453" s="3"/>
      <c r="Q453" s="64"/>
    </row>
    <row r="454" spans="1:17" s="1" customFormat="1" ht="15">
      <c r="A454" s="3"/>
      <c r="B454" s="5"/>
      <c r="C454" s="5"/>
      <c r="D454" s="3"/>
      <c r="E454" s="3"/>
      <c r="F454" s="3"/>
      <c r="G454" s="3"/>
      <c r="H454" s="57"/>
      <c r="I454" s="57"/>
      <c r="J454" s="3"/>
      <c r="K454" s="3"/>
      <c r="L454" s="3"/>
      <c r="M454" s="3"/>
      <c r="N454" s="3"/>
      <c r="O454" s="3"/>
      <c r="P454" s="3"/>
      <c r="Q454" s="64"/>
    </row>
    <row r="455" spans="1:17" s="26" customFormat="1" ht="15">
      <c r="A455" s="19" t="s">
        <v>777</v>
      </c>
      <c r="B455" s="29" t="s">
        <v>905</v>
      </c>
      <c r="C455" s="29" t="s">
        <v>906</v>
      </c>
      <c r="D455" s="19" t="s">
        <v>839</v>
      </c>
      <c r="E455" s="19" t="s">
        <v>840</v>
      </c>
      <c r="F455" s="19" t="s">
        <v>1046</v>
      </c>
      <c r="G455" s="19" t="s">
        <v>1046</v>
      </c>
      <c r="H455" s="28" t="s">
        <v>1108</v>
      </c>
      <c r="I455" s="28" t="s">
        <v>696</v>
      </c>
      <c r="J455" s="22">
        <v>0.36</v>
      </c>
      <c r="K455" s="22">
        <v>0.08</v>
      </c>
      <c r="L455" s="22">
        <f>(N455/J455)*100</f>
        <v>100</v>
      </c>
      <c r="M455" s="22" t="s">
        <v>253</v>
      </c>
      <c r="N455" s="22">
        <v>0.36</v>
      </c>
      <c r="O455" s="22" t="s">
        <v>253</v>
      </c>
      <c r="P455" s="19" t="s">
        <v>914</v>
      </c>
      <c r="Q455" s="63"/>
    </row>
    <row r="456" spans="1:17" s="26" customFormat="1" ht="15">
      <c r="A456" s="19" t="s">
        <v>777</v>
      </c>
      <c r="B456" s="29" t="s">
        <v>905</v>
      </c>
      <c r="C456" s="29" t="s">
        <v>906</v>
      </c>
      <c r="D456" s="19" t="s">
        <v>839</v>
      </c>
      <c r="E456" s="19" t="s">
        <v>840</v>
      </c>
      <c r="F456" s="19" t="s">
        <v>1046</v>
      </c>
      <c r="G456" s="19" t="s">
        <v>1046</v>
      </c>
      <c r="H456" s="28" t="s">
        <v>936</v>
      </c>
      <c r="I456" s="28" t="s">
        <v>544</v>
      </c>
      <c r="J456" s="22">
        <v>1.88</v>
      </c>
      <c r="K456" s="22">
        <v>0.16</v>
      </c>
      <c r="L456" s="22">
        <f t="shared" ref="L456:L464" si="54">(N456/J456)*100</f>
        <v>100</v>
      </c>
      <c r="M456" s="22" t="s">
        <v>986</v>
      </c>
      <c r="N456" s="22">
        <v>1.88</v>
      </c>
      <c r="O456" s="22" t="s">
        <v>986</v>
      </c>
      <c r="P456" s="19" t="s">
        <v>914</v>
      </c>
      <c r="Q456" s="63"/>
    </row>
    <row r="457" spans="1:17" s="26" customFormat="1" ht="15">
      <c r="A457" s="19" t="s">
        <v>777</v>
      </c>
      <c r="B457" s="29" t="s">
        <v>905</v>
      </c>
      <c r="C457" s="29" t="s">
        <v>906</v>
      </c>
      <c r="D457" s="19" t="s">
        <v>839</v>
      </c>
      <c r="E457" s="19" t="s">
        <v>840</v>
      </c>
      <c r="F457" s="19" t="s">
        <v>1046</v>
      </c>
      <c r="G457" s="19" t="s">
        <v>1046</v>
      </c>
      <c r="H457" s="28" t="s">
        <v>936</v>
      </c>
      <c r="I457" s="28" t="s">
        <v>698</v>
      </c>
      <c r="J457" s="22">
        <v>11.92</v>
      </c>
      <c r="K457" s="22">
        <v>1.1599999999999999</v>
      </c>
      <c r="L457" s="22">
        <f t="shared" si="54"/>
        <v>31.375838926174499</v>
      </c>
      <c r="M457" s="22" t="s">
        <v>986</v>
      </c>
      <c r="N457" s="22">
        <v>3.74</v>
      </c>
      <c r="O457" s="22" t="s">
        <v>986</v>
      </c>
      <c r="P457" s="19" t="s">
        <v>914</v>
      </c>
      <c r="Q457" s="63"/>
    </row>
    <row r="458" spans="1:17" s="26" customFormat="1" ht="15">
      <c r="A458" s="19" t="s">
        <v>777</v>
      </c>
      <c r="B458" s="29" t="s">
        <v>905</v>
      </c>
      <c r="C458" s="29" t="s">
        <v>906</v>
      </c>
      <c r="D458" s="19" t="s">
        <v>839</v>
      </c>
      <c r="E458" s="19" t="s">
        <v>840</v>
      </c>
      <c r="F458" s="19" t="s">
        <v>1046</v>
      </c>
      <c r="G458" s="19" t="s">
        <v>1046</v>
      </c>
      <c r="H458" s="28" t="s">
        <v>936</v>
      </c>
      <c r="I458" s="28" t="s">
        <v>1160</v>
      </c>
      <c r="J458" s="22">
        <v>29.2</v>
      </c>
      <c r="K458" s="22">
        <v>2.5</v>
      </c>
      <c r="L458" s="22">
        <f t="shared" si="54"/>
        <v>40.753424657534246</v>
      </c>
      <c r="M458" s="22" t="s">
        <v>986</v>
      </c>
      <c r="N458" s="22">
        <v>11.9</v>
      </c>
      <c r="O458" s="22" t="s">
        <v>986</v>
      </c>
      <c r="P458" s="19" t="s">
        <v>914</v>
      </c>
      <c r="Q458" s="63"/>
    </row>
    <row r="459" spans="1:17" s="26" customFormat="1" ht="15">
      <c r="A459" s="19" t="s">
        <v>777</v>
      </c>
      <c r="B459" s="29" t="s">
        <v>905</v>
      </c>
      <c r="C459" s="29" t="s">
        <v>906</v>
      </c>
      <c r="D459" s="19" t="s">
        <v>839</v>
      </c>
      <c r="E459" s="19" t="s">
        <v>840</v>
      </c>
      <c r="F459" s="19" t="s">
        <v>1046</v>
      </c>
      <c r="G459" s="19" t="s">
        <v>1046</v>
      </c>
      <c r="H459" s="28" t="s">
        <v>936</v>
      </c>
      <c r="I459" s="28" t="s">
        <v>485</v>
      </c>
      <c r="J459" s="22">
        <v>43.36</v>
      </c>
      <c r="K459" s="22" t="s">
        <v>1046</v>
      </c>
      <c r="L459" s="22">
        <f t="shared" si="54"/>
        <v>41.32841328413285</v>
      </c>
      <c r="M459" s="22" t="s">
        <v>986</v>
      </c>
      <c r="N459" s="22">
        <v>17.920000000000002</v>
      </c>
      <c r="O459" s="22" t="s">
        <v>986</v>
      </c>
      <c r="P459" s="19" t="s">
        <v>914</v>
      </c>
      <c r="Q459" s="63"/>
    </row>
    <row r="460" spans="1:17" s="26" customFormat="1" ht="15">
      <c r="A460" s="19" t="s">
        <v>961</v>
      </c>
      <c r="B460" s="29" t="s">
        <v>905</v>
      </c>
      <c r="C460" s="29" t="s">
        <v>906</v>
      </c>
      <c r="D460" s="19" t="s">
        <v>839</v>
      </c>
      <c r="E460" s="19" t="s">
        <v>840</v>
      </c>
      <c r="F460" s="19" t="s">
        <v>1046</v>
      </c>
      <c r="G460" s="19" t="s">
        <v>1046</v>
      </c>
      <c r="H460" s="28" t="s">
        <v>936</v>
      </c>
      <c r="I460" s="28" t="s">
        <v>1171</v>
      </c>
      <c r="J460" s="22">
        <v>0.54</v>
      </c>
      <c r="K460" s="22">
        <v>0.08</v>
      </c>
      <c r="L460" s="22">
        <f t="shared" si="54"/>
        <v>100</v>
      </c>
      <c r="M460" s="22" t="s">
        <v>986</v>
      </c>
      <c r="N460" s="22">
        <v>0.54</v>
      </c>
      <c r="O460" s="22" t="s">
        <v>986</v>
      </c>
      <c r="P460" s="19" t="s">
        <v>1029</v>
      </c>
      <c r="Q460" s="63"/>
    </row>
    <row r="461" spans="1:17" s="26" customFormat="1" ht="15">
      <c r="A461" s="19" t="s">
        <v>777</v>
      </c>
      <c r="B461" s="29" t="s">
        <v>905</v>
      </c>
      <c r="C461" s="29" t="s">
        <v>906</v>
      </c>
      <c r="D461" s="19" t="s">
        <v>839</v>
      </c>
      <c r="E461" s="19" t="s">
        <v>840</v>
      </c>
      <c r="F461" s="19" t="s">
        <v>1046</v>
      </c>
      <c r="G461" s="19" t="s">
        <v>1046</v>
      </c>
      <c r="H461" s="28" t="s">
        <v>936</v>
      </c>
      <c r="I461" s="28" t="s">
        <v>544</v>
      </c>
      <c r="J461" s="22">
        <v>1.82</v>
      </c>
      <c r="K461" s="22">
        <v>0.14000000000000001</v>
      </c>
      <c r="L461" s="22">
        <f t="shared" si="54"/>
        <v>100</v>
      </c>
      <c r="M461" s="22" t="s">
        <v>986</v>
      </c>
      <c r="N461" s="22">
        <v>1.82</v>
      </c>
      <c r="O461" s="22" t="s">
        <v>986</v>
      </c>
      <c r="P461" s="19" t="s">
        <v>1029</v>
      </c>
      <c r="Q461" s="63"/>
    </row>
    <row r="462" spans="1:17" s="26" customFormat="1" ht="15">
      <c r="A462" s="19" t="s">
        <v>777</v>
      </c>
      <c r="B462" s="29" t="s">
        <v>905</v>
      </c>
      <c r="C462" s="29" t="s">
        <v>906</v>
      </c>
      <c r="D462" s="19" t="s">
        <v>839</v>
      </c>
      <c r="E462" s="19" t="s">
        <v>840</v>
      </c>
      <c r="F462" s="19" t="s">
        <v>1046</v>
      </c>
      <c r="G462" s="19" t="s">
        <v>1046</v>
      </c>
      <c r="H462" s="28" t="s">
        <v>936</v>
      </c>
      <c r="I462" s="28" t="s">
        <v>698</v>
      </c>
      <c r="J462" s="22">
        <v>11.14</v>
      </c>
      <c r="K462" s="22">
        <v>1.3</v>
      </c>
      <c r="L462" s="22">
        <f t="shared" si="54"/>
        <v>49.192100538599639</v>
      </c>
      <c r="M462" s="22" t="s">
        <v>986</v>
      </c>
      <c r="N462" s="22">
        <v>5.48</v>
      </c>
      <c r="O462" s="22" t="s">
        <v>986</v>
      </c>
      <c r="P462" s="19" t="s">
        <v>1029</v>
      </c>
      <c r="Q462" s="63"/>
    </row>
    <row r="463" spans="1:17" s="26" customFormat="1" ht="15">
      <c r="A463" s="19" t="s">
        <v>777</v>
      </c>
      <c r="B463" s="29" t="s">
        <v>905</v>
      </c>
      <c r="C463" s="29" t="s">
        <v>906</v>
      </c>
      <c r="D463" s="19" t="s">
        <v>839</v>
      </c>
      <c r="E463" s="19" t="s">
        <v>840</v>
      </c>
      <c r="F463" s="19" t="s">
        <v>1046</v>
      </c>
      <c r="G463" s="19" t="s">
        <v>1046</v>
      </c>
      <c r="H463" s="28" t="s">
        <v>936</v>
      </c>
      <c r="I463" s="28" t="s">
        <v>1160</v>
      </c>
      <c r="J463" s="22">
        <v>29.54</v>
      </c>
      <c r="K463" s="22">
        <v>1.78</v>
      </c>
      <c r="L463" s="22">
        <f t="shared" si="54"/>
        <v>35.071090047393369</v>
      </c>
      <c r="M463" s="22" t="s">
        <v>986</v>
      </c>
      <c r="N463" s="22">
        <v>10.36</v>
      </c>
      <c r="O463" s="22" t="s">
        <v>986</v>
      </c>
      <c r="P463" s="19" t="s">
        <v>1029</v>
      </c>
      <c r="Q463" s="63"/>
    </row>
    <row r="464" spans="1:17" s="26" customFormat="1" ht="16" thickBot="1">
      <c r="A464" s="19" t="s">
        <v>777</v>
      </c>
      <c r="B464" s="29" t="s">
        <v>905</v>
      </c>
      <c r="C464" s="29" t="s">
        <v>906</v>
      </c>
      <c r="D464" s="19" t="s">
        <v>839</v>
      </c>
      <c r="E464" s="19" t="s">
        <v>840</v>
      </c>
      <c r="F464" s="19" t="s">
        <v>1046</v>
      </c>
      <c r="G464" s="19" t="s">
        <v>1046</v>
      </c>
      <c r="H464" s="28" t="s">
        <v>936</v>
      </c>
      <c r="I464" s="69" t="s">
        <v>485</v>
      </c>
      <c r="J464" s="45">
        <v>43.02</v>
      </c>
      <c r="K464" s="45" t="s">
        <v>1046</v>
      </c>
      <c r="L464" s="45">
        <f t="shared" si="54"/>
        <v>42.305904230590421</v>
      </c>
      <c r="M464" s="45" t="s">
        <v>986</v>
      </c>
      <c r="N464" s="45">
        <v>18.2</v>
      </c>
      <c r="O464" s="45" t="s">
        <v>1046</v>
      </c>
      <c r="P464" s="19" t="s">
        <v>1029</v>
      </c>
      <c r="Q464" s="63"/>
    </row>
    <row r="465" spans="1:16" ht="15">
      <c r="I465" s="47" t="s">
        <v>1171</v>
      </c>
      <c r="J465" s="51">
        <f>ROUND(AVERAGE(J455,J460),1)</f>
        <v>0.5</v>
      </c>
      <c r="K465" s="51" t="s">
        <v>986</v>
      </c>
      <c r="L465" s="51">
        <f>ROUND(AVERAGE(L455,L460),1)</f>
        <v>100</v>
      </c>
      <c r="M465" s="51" t="s">
        <v>986</v>
      </c>
      <c r="N465" s="51">
        <f>ROUND(AVERAGE(N455,N460),1)</f>
        <v>0.5</v>
      </c>
      <c r="O465" s="52" t="s">
        <v>986</v>
      </c>
    </row>
    <row r="466" spans="1:16" ht="15">
      <c r="I466" s="48" t="s">
        <v>544</v>
      </c>
      <c r="J466" s="53">
        <f t="shared" ref="J466:J469" si="55">ROUND(AVERAGE(J456,J461),1)</f>
        <v>1.9</v>
      </c>
      <c r="K466" s="53" t="s">
        <v>986</v>
      </c>
      <c r="L466" s="53">
        <f t="shared" ref="L466:L469" si="56">ROUND(AVERAGE(L456,L461),1)</f>
        <v>100</v>
      </c>
      <c r="M466" s="53" t="s">
        <v>986</v>
      </c>
      <c r="N466" s="53">
        <f t="shared" ref="N466:N469" si="57">ROUND(AVERAGE(N456,N461),1)</f>
        <v>1.9</v>
      </c>
      <c r="O466" s="54" t="s">
        <v>986</v>
      </c>
    </row>
    <row r="467" spans="1:16" ht="15">
      <c r="I467" s="48" t="s">
        <v>698</v>
      </c>
      <c r="J467" s="53">
        <f t="shared" si="55"/>
        <v>11.5</v>
      </c>
      <c r="K467" s="53" t="s">
        <v>986</v>
      </c>
      <c r="L467" s="53">
        <f t="shared" si="56"/>
        <v>40.299999999999997</v>
      </c>
      <c r="M467" s="53" t="s">
        <v>986</v>
      </c>
      <c r="N467" s="53">
        <f t="shared" si="57"/>
        <v>4.5999999999999996</v>
      </c>
      <c r="O467" s="54" t="s">
        <v>986</v>
      </c>
    </row>
    <row r="468" spans="1:16" ht="15">
      <c r="I468" s="48" t="s">
        <v>1160</v>
      </c>
      <c r="J468" s="53">
        <f t="shared" si="55"/>
        <v>29.4</v>
      </c>
      <c r="K468" s="53" t="s">
        <v>986</v>
      </c>
      <c r="L468" s="53">
        <f t="shared" si="56"/>
        <v>37.9</v>
      </c>
      <c r="M468" s="53" t="s">
        <v>986</v>
      </c>
      <c r="N468" s="53">
        <f t="shared" si="57"/>
        <v>11.1</v>
      </c>
      <c r="O468" s="54" t="s">
        <v>986</v>
      </c>
    </row>
    <row r="469" spans="1:16" ht="16" thickBot="1">
      <c r="I469" s="49" t="s">
        <v>213</v>
      </c>
      <c r="J469" s="55">
        <f t="shared" si="55"/>
        <v>43.2</v>
      </c>
      <c r="K469" s="55" t="s">
        <v>986</v>
      </c>
      <c r="L469" s="55">
        <f t="shared" si="56"/>
        <v>41.8</v>
      </c>
      <c r="M469" s="55" t="s">
        <v>986</v>
      </c>
      <c r="N469" s="55">
        <f t="shared" si="57"/>
        <v>18.100000000000001</v>
      </c>
      <c r="O469" s="56" t="s">
        <v>986</v>
      </c>
    </row>
    <row r="471" spans="1:16">
      <c r="A471" s="296"/>
      <c r="B471" s="296"/>
      <c r="C471" s="296"/>
      <c r="D471" s="296"/>
      <c r="E471" s="296"/>
      <c r="F471" s="296"/>
      <c r="G471" s="296"/>
      <c r="H471" s="296"/>
      <c r="I471" s="296"/>
      <c r="J471" s="301"/>
      <c r="K471" s="301"/>
      <c r="L471" s="301"/>
      <c r="M471" s="301"/>
      <c r="N471" s="301"/>
      <c r="O471" s="301"/>
      <c r="P471" s="296"/>
    </row>
    <row r="474" spans="1:16" ht="14" thickBot="1"/>
    <row r="475" spans="1:16" ht="14" thickBot="1">
      <c r="A475" s="648" t="s">
        <v>2066</v>
      </c>
      <c r="B475" s="649"/>
      <c r="C475" s="649"/>
      <c r="D475" s="539"/>
      <c r="I475" s="355" t="s">
        <v>2001</v>
      </c>
      <c r="J475" s="570">
        <f>ROUND(AVERAGE(J43,J59,J77,J85,J233,J316,J332,J363,J389,J395,J401,J410,J243,J270,J277,J281,J282,J283,J284,J285,J286,J287,J288,J289,J290,J291,J292,J293,J453,J469),1)</f>
        <v>68.7</v>
      </c>
      <c r="K475" s="570">
        <f>ROUND(STDEV(J43,J59,J77,J85,J233,J316,J332,J363,J389,J395,J401,J410,J243,J270,J277,J281,J282,J283,J284,J285,J286,J287,J288,J289,J290,J291,J292,J293,J453,J469),1)</f>
        <v>61</v>
      </c>
      <c r="L475" s="570">
        <f>ROUND(AVERAGE(L43,L59,L77,L85,L233,L316,L332,L363,L389,L395,L401,L410,L243,L270,L277,L281,L282,L283,L284,L285,L286,L287,L288,L289,L290,L291,L292,L293,L453,L469),1)</f>
        <v>51</v>
      </c>
      <c r="M475" s="570">
        <f>ROUND(STDEV(L43,L59,L77,L85,L233,L316,L332,L363,L389,L395,L401,L410,L243,L270,L277,L281,L282,L283,L284,L285,L286,L287,L288,L289,L290,L291,L292,L293,L453,L469),1)</f>
        <v>17.399999999999999</v>
      </c>
      <c r="N475" s="353">
        <f>ROUND(AVERAGE(N43,N59,N77,N81,N89,N90,N91,N92,N93,N94,N98,N237,N243,N270,N277,N281,N282,N283,N284,N285,N286,N287,N288,N289,N290,N291,N292,N293,N453,N469,N85,N233,N316,N332,N363,N389,N395,N401,N410),1)</f>
        <v>34.700000000000003</v>
      </c>
      <c r="O475" s="354">
        <f>ROUND(STDEV(N43,N59,N77,N81,N89,N90,N91,N92,N93,N94,N98,N237,N243,N270,N277,N281,N282,N283,N284,N285,N286,N287,N288,N289,N290,N291,N292,N293,N453,N469,N85,N233,N316,N332,N363,N389,N395,N401,N410),1)</f>
        <v>24.3</v>
      </c>
    </row>
    <row r="476" spans="1:16" ht="14" thickBot="1">
      <c r="A476" s="611" t="s">
        <v>2065</v>
      </c>
      <c r="B476" s="612"/>
      <c r="C476" s="612"/>
      <c r="D476" s="542"/>
      <c r="I476" s="356" t="s">
        <v>1860</v>
      </c>
      <c r="J476" s="571">
        <f>ROUND(AVERAGE(J43,J59,J77,J85,J233,J316,J332,J363,J389,J395,J401,J243,J270,J277,J281,J282,J283,J284,J285,J286,J287,J288,J289,J290,J291,J292,J293),1)</f>
        <v>71.599999999999994</v>
      </c>
      <c r="K476" s="571">
        <f>ROUND(STDEV(J43,J59,J77,J85,J233,J316,J332,J363,J389,J395,J401,J243,J270,J277,J281,J282,J283,J284,J285,J286,J287,J288,J289,J290,J291,J292,J293),1)</f>
        <v>63.8</v>
      </c>
      <c r="L476" s="571">
        <f>ROUND(AVERAGE(L43,L59,L77,L85,L233,L316,L332,L363,L389,L395,L401,L243,L270,L277,L281,L282,L283,L284,L285,L286,L287,L288,L289,L290,L291,L292,L293),1)</f>
        <v>52.1</v>
      </c>
      <c r="M476" s="571">
        <f>ROUND(STDEV(L43,L59,L77,L85,L233,L316,L332,L363,L389,L395,L401,L243,L270,L277,L281,L282,L283,L284,L285,L286,L287,L288,L289,L290,L291,L292,L293),1)</f>
        <v>17.899999999999999</v>
      </c>
      <c r="N476" s="357">
        <f>ROUND(AVERAGE(N43,N59,N77,N81,N89,N90,N91,N92,N93,N94,N98,N237,N243,N270,N277,N281,N282,N283,N284,N285,N286,N287,N288,N289,N290,N291,N292,N293,N85,N233,N316,N332,N363,N389,N395,N401),1)</f>
        <v>36.1</v>
      </c>
      <c r="O476" s="358">
        <f>ROUND(STDEV(N43,N59,N77,N81,N89,N90,N91,N92,N93,N94,N98,N237,N243,N270,N277,N281,N282,N283,N284,N285,N286,N287,N288,N289,N290,N291,N292,N293,N85,N233,N316,N332,N363,N389,N395,N401),1)</f>
        <v>24.7</v>
      </c>
    </row>
    <row r="477" spans="1:16" ht="14" thickBot="1">
      <c r="I477" s="359" t="s">
        <v>1731</v>
      </c>
      <c r="J477" s="569">
        <f>ROUND(AVERAGE(J410,J453,J469),1)</f>
        <v>43.6</v>
      </c>
      <c r="K477" s="569">
        <f>ROUND(STDEV(J410,J453,J469),1)</f>
        <v>10.199999999999999</v>
      </c>
      <c r="L477" s="569">
        <f>ROUND(AVERAGE(L410,L453,L469),1)</f>
        <v>41.2</v>
      </c>
      <c r="M477" s="569">
        <f>ROUND(STDEV(L410,L453,L469),1)</f>
        <v>9.5</v>
      </c>
      <c r="N477" s="360">
        <f>ROUND(AVERAGE(N410,N453,N469),1)</f>
        <v>17.2</v>
      </c>
      <c r="O477" s="361">
        <f>ROUND(STDEV(N410,N453,N469),1)</f>
        <v>0.8</v>
      </c>
    </row>
    <row r="478" spans="1:16" ht="14" thickBot="1">
      <c r="I478" s="60"/>
      <c r="J478" s="80"/>
      <c r="K478" s="80"/>
      <c r="L478" s="80"/>
      <c r="M478" s="80"/>
      <c r="N478" s="80"/>
      <c r="O478" s="80"/>
    </row>
    <row r="479" spans="1:16">
      <c r="I479" s="618" t="s">
        <v>2098</v>
      </c>
      <c r="J479" s="619">
        <f>ROUND(AVERAGE(J42,J76,J228+J229+J230+J231+J232,J400,J449,J465),1)</f>
        <v>37.1</v>
      </c>
      <c r="K479" s="619">
        <f>ROUND(STDEV(J42,J76,J228+J229+J230+J231+J232,J400,J449,J465),1)</f>
        <v>70.099999999999994</v>
      </c>
      <c r="L479" s="619">
        <f>ROUND(AVERAGE(L42,L76,L228,L229,L230,L231,L232,L400,L449,L465),1)</f>
        <v>70.900000000000006</v>
      </c>
      <c r="M479" s="619">
        <f>ROUND(STDEV(L42,L76,L228,L229,L230,L231,L232,L400,L449,L465),1)</f>
        <v>28.8</v>
      </c>
      <c r="N479" s="619">
        <f>ROUND(AVERAGE(N42,N76,N228+N229+N230+N231+N232,N400,N449,N465),1)</f>
        <v>8.1</v>
      </c>
      <c r="O479" s="620">
        <f>ROUND(STDEV(N42,N76,N228+N229+N230+N231+N232,N400,N449,N465),1)</f>
        <v>6.9</v>
      </c>
    </row>
    <row r="480" spans="1:16">
      <c r="I480" s="621" t="s">
        <v>1940</v>
      </c>
      <c r="J480" s="622">
        <f>ROUND(AVERAGE(J39,J75,J223+J224+J225+J226+J227,J270,J315,J330,J361,J387,J408,J453,J469),1)</f>
        <v>43.6</v>
      </c>
      <c r="K480" s="622">
        <f>ROUND(STDEV(J39,J75,J223+J224+J225+J226+J227,J270,J315,J330,J361,J387,J408,J453,J469),1)</f>
        <v>48.6</v>
      </c>
      <c r="L480" s="622">
        <f>ROUND(AVERAGE(L39,L75,L223,L224,L225,L226,L227,L270,L315,L330,L361,L387,L408,L453,L469),1)</f>
        <v>51.5</v>
      </c>
      <c r="M480" s="622">
        <f>ROUND(STDEV(L39,L75,L223,L224,L225,L226,L227,L270,L315,L330,L361,L387,L408,L453,L469),1)</f>
        <v>25.4</v>
      </c>
      <c r="N480" s="622">
        <f>ROUND(AVERAGE(N39,N75,N223+N224+N225+N226+N227,N270,N315,N330,N361,N387,N408,N453,N469),1)</f>
        <v>12.3</v>
      </c>
      <c r="O480" s="623">
        <f>ROUND(STDEV(N39,N75,N223+N224+N225+N226+N227,N270,N315,N330,N361,N387,N408,N453,N469),1)</f>
        <v>8.1</v>
      </c>
    </row>
    <row r="481" spans="9:15" ht="14" thickBot="1">
      <c r="I481" s="624" t="s">
        <v>2097</v>
      </c>
      <c r="J481" s="625">
        <f>ROUND(AVERAGE(J38,J89,J90,J91,J92,J93,J94,J98,J222,J237,J243,J277,J281,J282,J283,J284,J285,J286,J287,J288,J289,J290,J291,J292,J293,J315,J331,J362,J388,J399,J409),1)</f>
        <v>50.1</v>
      </c>
      <c r="K481" s="625">
        <f>ROUND(STDEV(J38,J89,J90,J91,J92,J93,J94,J98,J222,J237,J243,J277,J281,J282,J283,J284,J285,J286,J287,J288,J289,J290,J291,J292,J293,J315,J331,J362,J388,J399,J409),1)</f>
        <v>29</v>
      </c>
      <c r="L481" s="625">
        <f>ROUND(AVERAGE(L38,L89,L90,L91,L92,L93,L94,L98,L222,L237,L243,L277,L281,L282,L283,L284,L285,L286,L287,L288,L289,L290,L291,L292,L293,L315,L331,L362,L388,L399,L409),1)</f>
        <v>51</v>
      </c>
      <c r="M481" s="625">
        <f>ROUND(STDEV(L38,L89,L90,L91,L92,L93,L94,L98,L222,L237,L243,L277,L281,L282,L283,L284,L285,L286,L287,L288,L289,L290,L291,L292,L293,L315,L331,L362,L388,L399,L409),1)</f>
        <v>17.600000000000001</v>
      </c>
      <c r="N481" s="625">
        <f>ROUND(AVERAGE(N38,N89,N90,N91,N92,N93,N94,N98,N222,N237,N243,N277,N281,N282,N283,N284,N285,N286,N287,N288,N289,N290,N291,N292,N293,N315,N331,N362,N388,N399,N409),1)</f>
        <v>31.9</v>
      </c>
      <c r="O481" s="626">
        <f>ROUND(STDEV(N38,N89,N90,N91,N92,N93,N94,N98,N222,N237,N243,N277,N281,N282,N283,N284,N285,N286,N287,N288,N289,N290,N291,N292,N293,N315,N331,N362,N388,N399,N409),1)</f>
        <v>25.5</v>
      </c>
    </row>
  </sheetData>
  <mergeCells count="1">
    <mergeCell ref="A475:C475"/>
  </mergeCells>
  <phoneticPr fontId="17" type="noConversion"/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56"/>
  <sheetViews>
    <sheetView topLeftCell="A105" workbookViewId="0">
      <selection activeCell="I156" sqref="I156:O156"/>
    </sheetView>
  </sheetViews>
  <sheetFormatPr baseColWidth="10" defaultRowHeight="13" x14ac:dyDescent="0"/>
  <cols>
    <col min="1" max="1" width="29.5703125" customWidth="1"/>
    <col min="2" max="2" width="6.5703125" customWidth="1"/>
    <col min="3" max="3" width="6.140625" customWidth="1"/>
    <col min="4" max="4" width="15.85546875" customWidth="1"/>
    <col min="5" max="5" width="8.7109375" customWidth="1"/>
    <col min="6" max="6" width="5.42578125" customWidth="1"/>
    <col min="7" max="7" width="4.28515625" customWidth="1"/>
    <col min="9" max="9" width="16.7109375" customWidth="1"/>
    <col min="16" max="16" width="53.85546875" customWidth="1"/>
  </cols>
  <sheetData>
    <row r="1" spans="1:124" s="7" customFormat="1" ht="32" customHeight="1" thickBo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>
      <c r="A2" s="19" t="s">
        <v>1240</v>
      </c>
      <c r="B2" s="29" t="s">
        <v>1383</v>
      </c>
      <c r="C2" s="29" t="s">
        <v>1384</v>
      </c>
      <c r="D2" s="19" t="s">
        <v>1492</v>
      </c>
      <c r="E2" s="19">
        <v>1995</v>
      </c>
      <c r="F2" s="19">
        <v>9</v>
      </c>
      <c r="G2" s="19">
        <v>2</v>
      </c>
      <c r="H2" s="27" t="s">
        <v>1363</v>
      </c>
      <c r="I2" s="191" t="s">
        <v>1538</v>
      </c>
      <c r="J2" s="195" t="s">
        <v>1682</v>
      </c>
      <c r="K2" s="195" t="s">
        <v>1682</v>
      </c>
      <c r="L2" s="195" t="s">
        <v>1682</v>
      </c>
      <c r="M2" s="195" t="s">
        <v>1682</v>
      </c>
      <c r="N2" s="195" t="s">
        <v>1682</v>
      </c>
      <c r="O2" s="196" t="s">
        <v>1682</v>
      </c>
      <c r="P2" s="30" t="s">
        <v>1493</v>
      </c>
      <c r="Q2" s="50"/>
    </row>
    <row r="3" spans="1:124">
      <c r="A3" s="19"/>
      <c r="B3" s="29"/>
      <c r="C3" s="29"/>
      <c r="D3" s="19"/>
      <c r="E3" s="19"/>
      <c r="F3" s="19"/>
      <c r="G3" s="19"/>
      <c r="H3" s="27"/>
      <c r="I3" s="197" t="s">
        <v>422</v>
      </c>
      <c r="J3" s="168">
        <v>9.3000000000000007</v>
      </c>
      <c r="K3" s="168">
        <v>0.8</v>
      </c>
      <c r="L3" s="168">
        <f>(N3/J3)*100</f>
        <v>93.548387096774206</v>
      </c>
      <c r="M3" s="168" t="s">
        <v>1682</v>
      </c>
      <c r="N3" s="168">
        <f>9.3-0.6</f>
        <v>8.7000000000000011</v>
      </c>
      <c r="O3" s="198" t="s">
        <v>1682</v>
      </c>
      <c r="P3" s="30" t="s">
        <v>1493</v>
      </c>
      <c r="Q3" s="50"/>
    </row>
    <row r="4" spans="1:124">
      <c r="A4" s="19"/>
      <c r="B4" s="29"/>
      <c r="C4" s="29"/>
      <c r="D4" s="19"/>
      <c r="E4" s="19"/>
      <c r="F4" s="19"/>
      <c r="G4" s="19"/>
      <c r="H4" s="27"/>
      <c r="I4" s="197" t="s">
        <v>423</v>
      </c>
      <c r="J4" s="168">
        <v>0.2</v>
      </c>
      <c r="K4" s="168">
        <v>0.1</v>
      </c>
      <c r="L4" s="168">
        <f>(N4/J4)*100</f>
        <v>100</v>
      </c>
      <c r="M4" s="168" t="s">
        <v>1682</v>
      </c>
      <c r="N4" s="168">
        <f>0.2</f>
        <v>0.2</v>
      </c>
      <c r="O4" s="198" t="s">
        <v>1682</v>
      </c>
      <c r="P4" s="30" t="s">
        <v>1493</v>
      </c>
      <c r="Q4" s="50"/>
    </row>
    <row r="5" spans="1:124">
      <c r="A5" s="19"/>
      <c r="B5" s="29"/>
      <c r="C5" s="29"/>
      <c r="D5" s="19"/>
      <c r="E5" s="19"/>
      <c r="F5" s="19"/>
      <c r="G5" s="19"/>
      <c r="H5" s="27"/>
      <c r="I5" s="197" t="s">
        <v>542</v>
      </c>
      <c r="J5" s="168">
        <v>0.4</v>
      </c>
      <c r="K5" s="168">
        <v>0.1</v>
      </c>
      <c r="L5" s="168">
        <f>(N5/J5)*100</f>
        <v>74.999999999999986</v>
      </c>
      <c r="M5" s="168" t="s">
        <v>1682</v>
      </c>
      <c r="N5" s="168">
        <v>0.3</v>
      </c>
      <c r="O5" s="198" t="s">
        <v>1682</v>
      </c>
      <c r="P5" s="30" t="s">
        <v>1493</v>
      </c>
      <c r="Q5" s="50"/>
    </row>
    <row r="6" spans="1:124" ht="15">
      <c r="A6" s="19"/>
      <c r="B6" s="29"/>
      <c r="C6" s="29"/>
      <c r="D6" s="19"/>
      <c r="E6" s="19"/>
      <c r="F6" s="19"/>
      <c r="G6" s="19"/>
      <c r="H6" s="27"/>
      <c r="I6" s="197" t="s">
        <v>543</v>
      </c>
      <c r="J6" s="168" t="s">
        <v>1682</v>
      </c>
      <c r="K6" s="168" t="s">
        <v>1682</v>
      </c>
      <c r="L6" s="168" t="s">
        <v>1682</v>
      </c>
      <c r="M6" s="53" t="s">
        <v>1682</v>
      </c>
      <c r="N6" s="53" t="s">
        <v>1046</v>
      </c>
      <c r="O6" s="54" t="s">
        <v>1682</v>
      </c>
      <c r="P6" s="30" t="s">
        <v>1493</v>
      </c>
      <c r="Q6" s="50"/>
    </row>
    <row r="7" spans="1:124" ht="15">
      <c r="A7" s="19"/>
      <c r="B7" s="29"/>
      <c r="C7" s="29"/>
      <c r="D7" s="19"/>
      <c r="E7" s="19"/>
      <c r="F7" s="19"/>
      <c r="G7" s="19"/>
      <c r="H7" s="27"/>
      <c r="I7" s="197" t="s">
        <v>414</v>
      </c>
      <c r="J7" s="168" t="s">
        <v>1682</v>
      </c>
      <c r="K7" s="168" t="s">
        <v>1682</v>
      </c>
      <c r="L7" s="168" t="s">
        <v>1682</v>
      </c>
      <c r="M7" s="53" t="s">
        <v>1682</v>
      </c>
      <c r="N7" s="53" t="s">
        <v>1046</v>
      </c>
      <c r="O7" s="54" t="s">
        <v>1682</v>
      </c>
      <c r="P7" s="30" t="s">
        <v>1493</v>
      </c>
      <c r="Q7" s="50"/>
    </row>
    <row r="8" spans="1:124">
      <c r="A8" s="19"/>
      <c r="B8" s="29"/>
      <c r="C8" s="29"/>
      <c r="D8" s="19"/>
      <c r="E8" s="19"/>
      <c r="F8" s="19"/>
      <c r="G8" s="19"/>
      <c r="H8" s="27"/>
      <c r="I8" s="197" t="s">
        <v>415</v>
      </c>
      <c r="J8" s="168">
        <v>0.1</v>
      </c>
      <c r="K8" s="168">
        <v>0.1</v>
      </c>
      <c r="L8" s="168">
        <f t="shared" ref="L8:L13" si="0">(N8/J8)*100</f>
        <v>100</v>
      </c>
      <c r="M8" s="168" t="s">
        <v>1682</v>
      </c>
      <c r="N8" s="168">
        <v>0.1</v>
      </c>
      <c r="O8" s="198" t="s">
        <v>1682</v>
      </c>
      <c r="P8" s="30" t="s">
        <v>1493</v>
      </c>
      <c r="Q8" s="50"/>
    </row>
    <row r="9" spans="1:124">
      <c r="A9" s="19"/>
      <c r="B9" s="29"/>
      <c r="C9" s="29"/>
      <c r="D9" s="19"/>
      <c r="E9" s="19"/>
      <c r="F9" s="19"/>
      <c r="G9" s="19"/>
      <c r="H9" s="27"/>
      <c r="I9" s="197" t="s">
        <v>416</v>
      </c>
      <c r="J9" s="168">
        <v>0.5</v>
      </c>
      <c r="K9" s="168">
        <v>0.2</v>
      </c>
      <c r="L9" s="168">
        <f t="shared" si="0"/>
        <v>80</v>
      </c>
      <c r="M9" s="168" t="s">
        <v>1682</v>
      </c>
      <c r="N9" s="168">
        <v>0.4</v>
      </c>
      <c r="O9" s="198" t="s">
        <v>1682</v>
      </c>
      <c r="P9" s="30" t="s">
        <v>1493</v>
      </c>
      <c r="Q9" s="50"/>
    </row>
    <row r="10" spans="1:124">
      <c r="A10" s="19"/>
      <c r="B10" s="29"/>
      <c r="C10" s="29"/>
      <c r="D10" s="19"/>
      <c r="E10" s="19"/>
      <c r="F10" s="19"/>
      <c r="G10" s="19"/>
      <c r="H10" s="27"/>
      <c r="I10" s="197" t="s">
        <v>557</v>
      </c>
      <c r="J10" s="168">
        <v>1</v>
      </c>
      <c r="K10" s="168">
        <v>0.4</v>
      </c>
      <c r="L10" s="168">
        <f t="shared" si="0"/>
        <v>70</v>
      </c>
      <c r="M10" s="168" t="s">
        <v>1682</v>
      </c>
      <c r="N10" s="168">
        <v>0.7</v>
      </c>
      <c r="O10" s="198" t="s">
        <v>1682</v>
      </c>
      <c r="P10" s="30" t="s">
        <v>1493</v>
      </c>
      <c r="Q10" s="50"/>
    </row>
    <row r="11" spans="1:124">
      <c r="A11" s="19"/>
      <c r="B11" s="29"/>
      <c r="C11" s="29"/>
      <c r="D11" s="19"/>
      <c r="E11" s="19"/>
      <c r="F11" s="19"/>
      <c r="G11" s="19"/>
      <c r="H11" s="27"/>
      <c r="I11" s="197" t="s">
        <v>923</v>
      </c>
      <c r="J11" s="168">
        <v>7.8</v>
      </c>
      <c r="K11" s="168">
        <v>2.2999999999999998</v>
      </c>
      <c r="L11" s="168">
        <f t="shared" si="0"/>
        <v>29.487179487179489</v>
      </c>
      <c r="M11" s="168" t="s">
        <v>1682</v>
      </c>
      <c r="N11" s="168">
        <v>2.2999999999999998</v>
      </c>
      <c r="O11" s="198" t="s">
        <v>1682</v>
      </c>
      <c r="P11" s="30" t="s">
        <v>1493</v>
      </c>
      <c r="Q11" s="50"/>
    </row>
    <row r="12" spans="1:124">
      <c r="A12" s="19"/>
      <c r="B12" s="29"/>
      <c r="C12" s="29"/>
      <c r="D12" s="19"/>
      <c r="E12" s="19"/>
      <c r="F12" s="19"/>
      <c r="G12" s="19"/>
      <c r="H12" s="27"/>
      <c r="I12" s="197" t="s">
        <v>315</v>
      </c>
      <c r="J12" s="168">
        <v>0.3</v>
      </c>
      <c r="K12" s="168">
        <v>0.2</v>
      </c>
      <c r="L12" s="168">
        <f t="shared" si="0"/>
        <v>100</v>
      </c>
      <c r="M12" s="168" t="s">
        <v>1682</v>
      </c>
      <c r="N12" s="168">
        <v>0.3</v>
      </c>
      <c r="O12" s="198" t="s">
        <v>1682</v>
      </c>
      <c r="P12" s="30" t="s">
        <v>1493</v>
      </c>
      <c r="Q12" s="50"/>
    </row>
    <row r="13" spans="1:124">
      <c r="A13" s="19"/>
      <c r="B13" s="29"/>
      <c r="C13" s="29"/>
      <c r="D13" s="19"/>
      <c r="E13" s="19"/>
      <c r="F13" s="19"/>
      <c r="G13" s="19"/>
      <c r="H13" s="27"/>
      <c r="I13" s="197" t="s">
        <v>558</v>
      </c>
      <c r="J13" s="168">
        <v>45.5</v>
      </c>
      <c r="K13" s="168">
        <v>12.3</v>
      </c>
      <c r="L13" s="168">
        <f t="shared" si="0"/>
        <v>16.703296703296701</v>
      </c>
      <c r="M13" s="168" t="s">
        <v>1682</v>
      </c>
      <c r="N13" s="168">
        <v>7.6</v>
      </c>
      <c r="O13" s="198" t="s">
        <v>1682</v>
      </c>
      <c r="P13" s="30" t="s">
        <v>1493</v>
      </c>
      <c r="Q13" s="50"/>
    </row>
    <row r="14" spans="1:124">
      <c r="A14" s="19"/>
      <c r="B14" s="29"/>
      <c r="C14" s="29"/>
      <c r="D14" s="19"/>
      <c r="E14" s="19"/>
      <c r="F14" s="19"/>
      <c r="G14" s="19"/>
      <c r="H14" s="27"/>
      <c r="I14" s="197" t="s">
        <v>559</v>
      </c>
      <c r="J14" s="168" t="s">
        <v>1682</v>
      </c>
      <c r="K14" s="168" t="s">
        <v>1682</v>
      </c>
      <c r="L14" s="168" t="s">
        <v>1682</v>
      </c>
      <c r="M14" s="168" t="s">
        <v>1682</v>
      </c>
      <c r="N14" s="168" t="s">
        <v>1682</v>
      </c>
      <c r="O14" s="198" t="s">
        <v>1682</v>
      </c>
      <c r="P14" s="30" t="s">
        <v>1493</v>
      </c>
      <c r="Q14" s="50"/>
    </row>
    <row r="15" spans="1:124">
      <c r="A15" s="19"/>
      <c r="B15" s="29"/>
      <c r="C15" s="29"/>
      <c r="D15" s="19"/>
      <c r="E15" s="19"/>
      <c r="F15" s="19"/>
      <c r="G15" s="19"/>
      <c r="H15" s="27"/>
      <c r="I15" s="197" t="s">
        <v>420</v>
      </c>
      <c r="J15" s="168">
        <v>1.2</v>
      </c>
      <c r="K15" s="168">
        <v>0</v>
      </c>
      <c r="L15" s="168">
        <f>(N15/J15)*100</f>
        <v>0</v>
      </c>
      <c r="M15" s="168" t="s">
        <v>1682</v>
      </c>
      <c r="N15" s="168">
        <v>0</v>
      </c>
      <c r="O15" s="198" t="s">
        <v>1682</v>
      </c>
      <c r="P15" s="30" t="s">
        <v>1493</v>
      </c>
      <c r="Q15" s="50"/>
    </row>
    <row r="16" spans="1:124" ht="14" thickBot="1">
      <c r="A16" s="19"/>
      <c r="B16" s="29"/>
      <c r="C16" s="29"/>
      <c r="D16" s="19"/>
      <c r="E16" s="19"/>
      <c r="F16" s="19"/>
      <c r="G16" s="19"/>
      <c r="H16" s="27"/>
      <c r="I16" s="192" t="s">
        <v>908</v>
      </c>
      <c r="J16" s="199">
        <v>66.3</v>
      </c>
      <c r="K16" s="199">
        <v>13.3</v>
      </c>
      <c r="L16" s="199">
        <f>(N16/J16)*100</f>
        <v>31.22171945701357</v>
      </c>
      <c r="M16" s="199" t="s">
        <v>1682</v>
      </c>
      <c r="N16" s="199">
        <f>66.3-45.6</f>
        <v>20.699999999999996</v>
      </c>
      <c r="O16" s="200" t="s">
        <v>1682</v>
      </c>
      <c r="P16" s="30" t="s">
        <v>1493</v>
      </c>
      <c r="Q16" s="50"/>
    </row>
    <row r="18" spans="1:17" s="58" customFormat="1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</row>
    <row r="19" spans="1:17" ht="14" thickBot="1"/>
    <row r="20" spans="1:17" ht="15">
      <c r="A20" s="19" t="s">
        <v>1531</v>
      </c>
      <c r="B20" s="29" t="s">
        <v>1534</v>
      </c>
      <c r="C20" s="29" t="s">
        <v>1455</v>
      </c>
      <c r="D20" s="19" t="s">
        <v>1438</v>
      </c>
      <c r="E20" s="19">
        <v>1991</v>
      </c>
      <c r="F20" s="19">
        <v>9</v>
      </c>
      <c r="G20" s="19">
        <v>9</v>
      </c>
      <c r="H20" s="27" t="s">
        <v>1363</v>
      </c>
      <c r="I20" s="47" t="s">
        <v>1439</v>
      </c>
      <c r="J20" s="51">
        <v>23.65</v>
      </c>
      <c r="K20" s="51">
        <v>2.37</v>
      </c>
      <c r="L20" s="51">
        <f t="shared" ref="L20:L32" si="1">ROUND((N20/J20)*100,1)</f>
        <v>99.9</v>
      </c>
      <c r="M20" s="51" t="s">
        <v>253</v>
      </c>
      <c r="N20" s="51">
        <f>J20-0.03</f>
        <v>23.619999999999997</v>
      </c>
      <c r="O20" s="52" t="s">
        <v>253</v>
      </c>
      <c r="P20" s="30" t="s">
        <v>1470</v>
      </c>
      <c r="Q20" s="50"/>
    </row>
    <row r="21" spans="1:17" ht="15">
      <c r="A21" s="19"/>
      <c r="B21" s="29"/>
      <c r="C21" s="29"/>
      <c r="D21" s="19"/>
      <c r="E21" s="19"/>
      <c r="F21" s="19"/>
      <c r="G21" s="19"/>
      <c r="H21" s="27"/>
      <c r="I21" s="48" t="s">
        <v>1093</v>
      </c>
      <c r="J21" s="53">
        <v>4.24</v>
      </c>
      <c r="K21" s="53">
        <v>3.19</v>
      </c>
      <c r="L21" s="53">
        <f t="shared" si="1"/>
        <v>100</v>
      </c>
      <c r="M21" s="53" t="s">
        <v>253</v>
      </c>
      <c r="N21" s="53">
        <f>J21-0</f>
        <v>4.24</v>
      </c>
      <c r="O21" s="54" t="s">
        <v>253</v>
      </c>
      <c r="P21" s="30" t="s">
        <v>1470</v>
      </c>
      <c r="Q21" s="50"/>
    </row>
    <row r="22" spans="1:17" ht="15">
      <c r="A22" s="19"/>
      <c r="B22" s="29"/>
      <c r="C22" s="29"/>
      <c r="D22" s="19"/>
      <c r="E22" s="19"/>
      <c r="F22" s="19"/>
      <c r="G22" s="19"/>
      <c r="H22" s="27"/>
      <c r="I22" s="48" t="s">
        <v>1374</v>
      </c>
      <c r="J22" s="53">
        <v>1.5</v>
      </c>
      <c r="K22" s="53">
        <v>0.52</v>
      </c>
      <c r="L22" s="53">
        <f t="shared" si="1"/>
        <v>84</v>
      </c>
      <c r="M22" s="53" t="s">
        <v>986</v>
      </c>
      <c r="N22" s="53">
        <f>J22-0.24</f>
        <v>1.26</v>
      </c>
      <c r="O22" s="54" t="s">
        <v>986</v>
      </c>
      <c r="P22" s="30" t="s">
        <v>1470</v>
      </c>
      <c r="Q22" s="50"/>
    </row>
    <row r="23" spans="1:17" ht="15">
      <c r="A23" s="19"/>
      <c r="B23" s="29"/>
      <c r="C23" s="29"/>
      <c r="D23" s="19"/>
      <c r="E23" s="19"/>
      <c r="F23" s="19"/>
      <c r="G23" s="19"/>
      <c r="H23" s="27"/>
      <c r="I23" s="48" t="s">
        <v>1251</v>
      </c>
      <c r="J23" s="53">
        <v>0.6</v>
      </c>
      <c r="K23" s="53">
        <v>0.18</v>
      </c>
      <c r="L23" s="53">
        <f t="shared" si="1"/>
        <v>91.7</v>
      </c>
      <c r="M23" s="53" t="s">
        <v>986</v>
      </c>
      <c r="N23" s="53">
        <f>J23-0.05</f>
        <v>0.54999999999999993</v>
      </c>
      <c r="O23" s="54" t="s">
        <v>986</v>
      </c>
      <c r="P23" s="30" t="s">
        <v>1470</v>
      </c>
      <c r="Q23" s="50"/>
    </row>
    <row r="24" spans="1:17" ht="15">
      <c r="A24" s="19"/>
      <c r="B24" s="29"/>
      <c r="C24" s="29"/>
      <c r="D24" s="19"/>
      <c r="E24" s="19"/>
      <c r="F24" s="19"/>
      <c r="G24" s="19"/>
      <c r="H24" s="27"/>
      <c r="I24" s="48" t="s">
        <v>1478</v>
      </c>
      <c r="J24" s="53">
        <v>1.51</v>
      </c>
      <c r="K24" s="53">
        <v>0.56999999999999995</v>
      </c>
      <c r="L24" s="53">
        <f t="shared" si="1"/>
        <v>72.8</v>
      </c>
      <c r="M24" s="53" t="s">
        <v>986</v>
      </c>
      <c r="N24" s="53">
        <f>J24-0.41</f>
        <v>1.1000000000000001</v>
      </c>
      <c r="O24" s="54" t="s">
        <v>986</v>
      </c>
      <c r="P24" s="30" t="s">
        <v>1470</v>
      </c>
      <c r="Q24" s="50"/>
    </row>
    <row r="25" spans="1:17" ht="15">
      <c r="A25" s="19"/>
      <c r="B25" s="29"/>
      <c r="C25" s="29"/>
      <c r="D25" s="19"/>
      <c r="E25" s="19"/>
      <c r="F25" s="19"/>
      <c r="G25" s="19"/>
      <c r="H25" s="27"/>
      <c r="I25" s="48" t="s">
        <v>1247</v>
      </c>
      <c r="J25" s="53">
        <v>4.2</v>
      </c>
      <c r="K25" s="53">
        <v>0.88</v>
      </c>
      <c r="L25" s="53">
        <f t="shared" si="1"/>
        <v>80</v>
      </c>
      <c r="M25" s="53" t="s">
        <v>986</v>
      </c>
      <c r="N25" s="53">
        <f>J25-0.84</f>
        <v>3.3600000000000003</v>
      </c>
      <c r="O25" s="54" t="s">
        <v>986</v>
      </c>
      <c r="P25" s="30" t="s">
        <v>1470</v>
      </c>
      <c r="Q25" s="50"/>
    </row>
    <row r="26" spans="1:17" ht="15">
      <c r="A26" s="19"/>
      <c r="B26" s="29"/>
      <c r="C26" s="29"/>
      <c r="D26" s="19"/>
      <c r="E26" s="19"/>
      <c r="F26" s="19"/>
      <c r="G26" s="19"/>
      <c r="H26" s="27"/>
      <c r="I26" s="48" t="s">
        <v>1588</v>
      </c>
      <c r="J26" s="53">
        <v>6.73</v>
      </c>
      <c r="K26" s="53">
        <v>1.83</v>
      </c>
      <c r="L26" s="53">
        <f t="shared" si="1"/>
        <v>70.900000000000006</v>
      </c>
      <c r="M26" s="53" t="s">
        <v>986</v>
      </c>
      <c r="N26" s="53">
        <f>J26-1.96</f>
        <v>4.7700000000000005</v>
      </c>
      <c r="O26" s="54" t="s">
        <v>986</v>
      </c>
      <c r="P26" s="30" t="s">
        <v>1470</v>
      </c>
      <c r="Q26" s="50"/>
    </row>
    <row r="27" spans="1:17" ht="15">
      <c r="A27" s="19"/>
      <c r="B27" s="29"/>
      <c r="C27" s="29"/>
      <c r="D27" s="19"/>
      <c r="E27" s="19"/>
      <c r="F27" s="19"/>
      <c r="G27" s="19"/>
      <c r="H27" s="27"/>
      <c r="I27" s="48" t="s">
        <v>1283</v>
      </c>
      <c r="J27" s="53">
        <v>0.36</v>
      </c>
      <c r="K27" s="53">
        <v>0.22</v>
      </c>
      <c r="L27" s="53">
        <f t="shared" si="1"/>
        <v>100</v>
      </c>
      <c r="M27" s="53" t="s">
        <v>986</v>
      </c>
      <c r="N27" s="53">
        <f>J27-0</f>
        <v>0.36</v>
      </c>
      <c r="O27" s="54" t="s">
        <v>986</v>
      </c>
      <c r="P27" s="30" t="s">
        <v>1470</v>
      </c>
      <c r="Q27" s="50"/>
    </row>
    <row r="28" spans="1:17" ht="15">
      <c r="A28" s="19"/>
      <c r="B28" s="29"/>
      <c r="C28" s="29"/>
      <c r="D28" s="19"/>
      <c r="E28" s="19"/>
      <c r="F28" s="19"/>
      <c r="G28" s="19"/>
      <c r="H28" s="27"/>
      <c r="I28" s="48" t="s">
        <v>1467</v>
      </c>
      <c r="J28" s="53">
        <v>8.24</v>
      </c>
      <c r="K28" s="53">
        <v>3.17</v>
      </c>
      <c r="L28" s="53">
        <f t="shared" si="1"/>
        <v>36.200000000000003</v>
      </c>
      <c r="M28" s="53" t="s">
        <v>986</v>
      </c>
      <c r="N28" s="53">
        <v>2.98</v>
      </c>
      <c r="O28" s="54" t="s">
        <v>986</v>
      </c>
      <c r="P28" s="30" t="s">
        <v>1470</v>
      </c>
      <c r="Q28" s="50"/>
    </row>
    <row r="29" spans="1:17" ht="15">
      <c r="A29" s="19"/>
      <c r="B29" s="29"/>
      <c r="C29" s="29"/>
      <c r="D29" s="19"/>
      <c r="E29" s="19"/>
      <c r="F29" s="19"/>
      <c r="G29" s="19"/>
      <c r="H29" s="27"/>
      <c r="I29" s="48" t="s">
        <v>1372</v>
      </c>
      <c r="J29" s="53">
        <v>1.35</v>
      </c>
      <c r="K29" s="53">
        <v>1.35</v>
      </c>
      <c r="L29" s="53">
        <f t="shared" si="1"/>
        <v>100</v>
      </c>
      <c r="M29" s="53" t="s">
        <v>986</v>
      </c>
      <c r="N29" s="53">
        <f>J29-0</f>
        <v>1.35</v>
      </c>
      <c r="O29" s="54" t="s">
        <v>986</v>
      </c>
      <c r="P29" s="30" t="s">
        <v>1470</v>
      </c>
      <c r="Q29" s="50"/>
    </row>
    <row r="30" spans="1:17" ht="15">
      <c r="A30" s="19"/>
      <c r="B30" s="29"/>
      <c r="C30" s="29"/>
      <c r="D30" s="19"/>
      <c r="E30" s="19"/>
      <c r="F30" s="19"/>
      <c r="G30" s="19"/>
      <c r="H30" s="27"/>
      <c r="I30" s="48" t="s">
        <v>1183</v>
      </c>
      <c r="J30" s="53">
        <v>1.41</v>
      </c>
      <c r="K30" s="53">
        <v>1.01</v>
      </c>
      <c r="L30" s="53">
        <f t="shared" si="1"/>
        <v>100</v>
      </c>
      <c r="M30" s="53" t="s">
        <v>986</v>
      </c>
      <c r="N30" s="53">
        <f>J30-0</f>
        <v>1.41</v>
      </c>
      <c r="O30" s="54" t="s">
        <v>986</v>
      </c>
      <c r="P30" s="30" t="s">
        <v>1470</v>
      </c>
      <c r="Q30" s="50"/>
    </row>
    <row r="31" spans="1:17" ht="15">
      <c r="A31" s="19"/>
      <c r="B31" s="29"/>
      <c r="C31" s="29"/>
      <c r="D31" s="19"/>
      <c r="E31" s="19"/>
      <c r="F31" s="19"/>
      <c r="G31" s="19"/>
      <c r="H31" s="27"/>
      <c r="I31" s="48" t="s">
        <v>1184</v>
      </c>
      <c r="J31" s="53">
        <v>25.39</v>
      </c>
      <c r="K31" s="53">
        <v>4.07</v>
      </c>
      <c r="L31" s="53">
        <f t="shared" si="1"/>
        <v>66.400000000000006</v>
      </c>
      <c r="M31" s="53" t="s">
        <v>986</v>
      </c>
      <c r="N31" s="53">
        <f>J31-8.52</f>
        <v>16.87</v>
      </c>
      <c r="O31" s="54" t="s">
        <v>986</v>
      </c>
      <c r="P31" s="30" t="s">
        <v>1470</v>
      </c>
      <c r="Q31" s="50"/>
    </row>
    <row r="32" spans="1:17" ht="16" thickBot="1">
      <c r="A32" s="19"/>
      <c r="B32" s="29"/>
      <c r="C32" s="29"/>
      <c r="D32" s="19"/>
      <c r="E32" s="19"/>
      <c r="F32" s="19"/>
      <c r="G32" s="19"/>
      <c r="H32" s="27"/>
      <c r="I32" s="49" t="s">
        <v>485</v>
      </c>
      <c r="J32" s="55">
        <v>53.31</v>
      </c>
      <c r="K32" s="55">
        <v>4.84</v>
      </c>
      <c r="L32" s="55">
        <f t="shared" si="1"/>
        <v>82.5</v>
      </c>
      <c r="M32" s="55" t="s">
        <v>986</v>
      </c>
      <c r="N32" s="55">
        <v>44</v>
      </c>
      <c r="O32" s="56" t="s">
        <v>986</v>
      </c>
      <c r="P32" s="30" t="s">
        <v>1470</v>
      </c>
      <c r="Q32" s="50"/>
    </row>
    <row r="33" spans="1:17" s="58" customFormat="1">
      <c r="A33" s="35"/>
      <c r="B33" s="5"/>
      <c r="C33" s="5"/>
      <c r="D33" s="3"/>
      <c r="E33" s="3"/>
      <c r="F33" s="3"/>
      <c r="G33" s="3"/>
      <c r="H33" s="3"/>
      <c r="I33" s="3"/>
      <c r="J33" s="74"/>
      <c r="K33" s="74"/>
      <c r="L33" s="74"/>
      <c r="M33" s="74"/>
      <c r="N33" s="74"/>
      <c r="O33" s="74"/>
      <c r="P33" s="3"/>
      <c r="Q33" s="3"/>
    </row>
    <row r="34" spans="1:17">
      <c r="A34" s="19" t="s">
        <v>1377</v>
      </c>
      <c r="B34" s="29" t="s">
        <v>1376</v>
      </c>
      <c r="C34" s="29" t="s">
        <v>1256</v>
      </c>
      <c r="D34" s="19" t="s">
        <v>1257</v>
      </c>
      <c r="E34" s="19">
        <v>1992</v>
      </c>
      <c r="F34" s="19">
        <v>8</v>
      </c>
      <c r="G34" s="19">
        <v>31</v>
      </c>
      <c r="H34" s="19" t="s">
        <v>1363</v>
      </c>
      <c r="I34" s="19" t="s">
        <v>1258</v>
      </c>
      <c r="J34" s="22">
        <v>16.95</v>
      </c>
      <c r="K34" s="22">
        <v>1.61</v>
      </c>
      <c r="L34" s="22">
        <f>(N34/J34)*100</f>
        <v>98.407079646017706</v>
      </c>
      <c r="M34" s="22" t="s">
        <v>986</v>
      </c>
      <c r="N34" s="22">
        <f>J34-0.27</f>
        <v>16.68</v>
      </c>
      <c r="O34" s="22" t="s">
        <v>986</v>
      </c>
      <c r="P34" s="19" t="s">
        <v>1470</v>
      </c>
      <c r="Q34" s="50"/>
    </row>
    <row r="35" spans="1:17">
      <c r="A35" s="19"/>
      <c r="B35" s="29"/>
      <c r="C35" s="29"/>
      <c r="D35" s="19"/>
      <c r="E35" s="19"/>
      <c r="F35" s="19"/>
      <c r="G35" s="19"/>
      <c r="H35" s="19"/>
      <c r="I35" s="19" t="s">
        <v>1093</v>
      </c>
      <c r="J35" s="22">
        <v>2.5499999999999998</v>
      </c>
      <c r="K35" s="22">
        <v>0.52</v>
      </c>
      <c r="L35" s="22">
        <f>(N35/J35)*100</f>
        <v>97.254901960784323</v>
      </c>
      <c r="M35" s="22" t="s">
        <v>986</v>
      </c>
      <c r="N35" s="22">
        <f>J35-0.07</f>
        <v>2.48</v>
      </c>
      <c r="O35" s="22" t="s">
        <v>986</v>
      </c>
      <c r="P35" s="19" t="s">
        <v>1470</v>
      </c>
      <c r="Q35" s="50"/>
    </row>
    <row r="36" spans="1:17" ht="15">
      <c r="A36" s="19"/>
      <c r="B36" s="29"/>
      <c r="C36" s="29"/>
      <c r="D36" s="19"/>
      <c r="E36" s="19"/>
      <c r="F36" s="19"/>
      <c r="G36" s="19"/>
      <c r="H36" s="19"/>
      <c r="I36" s="28" t="s">
        <v>1374</v>
      </c>
      <c r="J36" s="22">
        <v>0.1</v>
      </c>
      <c r="K36" s="22">
        <v>0.1</v>
      </c>
      <c r="L36" s="22">
        <f>(N36/J36)*100</f>
        <v>90</v>
      </c>
      <c r="M36" s="22" t="s">
        <v>986</v>
      </c>
      <c r="N36" s="22">
        <f>J36-0.01</f>
        <v>9.0000000000000011E-2</v>
      </c>
      <c r="O36" s="22" t="s">
        <v>986</v>
      </c>
      <c r="P36" s="19" t="s">
        <v>1470</v>
      </c>
      <c r="Q36" s="50"/>
    </row>
    <row r="37" spans="1:17" ht="15">
      <c r="A37" s="19"/>
      <c r="B37" s="29"/>
      <c r="C37" s="29"/>
      <c r="D37" s="19"/>
      <c r="E37" s="19"/>
      <c r="F37" s="19"/>
      <c r="G37" s="19"/>
      <c r="H37" s="19"/>
      <c r="I37" s="28" t="s">
        <v>1251</v>
      </c>
      <c r="J37" s="22">
        <v>0.01</v>
      </c>
      <c r="K37" s="22">
        <v>0.01</v>
      </c>
      <c r="L37" s="22">
        <f>(N37/J37)*100</f>
        <v>0</v>
      </c>
      <c r="M37" s="22" t="s">
        <v>986</v>
      </c>
      <c r="N37" s="22">
        <f>J37-0.01</f>
        <v>0</v>
      </c>
      <c r="O37" s="22" t="s">
        <v>986</v>
      </c>
      <c r="P37" s="19" t="s">
        <v>1470</v>
      </c>
      <c r="Q37" s="50"/>
    </row>
    <row r="38" spans="1:17" ht="15">
      <c r="A38" s="19"/>
      <c r="B38" s="29"/>
      <c r="C38" s="29"/>
      <c r="D38" s="19"/>
      <c r="E38" s="19"/>
      <c r="F38" s="19"/>
      <c r="G38" s="19"/>
      <c r="H38" s="19"/>
      <c r="I38" s="28" t="s">
        <v>1478</v>
      </c>
      <c r="J38" s="22">
        <v>0.26</v>
      </c>
      <c r="K38" s="22">
        <v>0.11</v>
      </c>
      <c r="L38" s="22" t="s">
        <v>986</v>
      </c>
      <c r="M38" s="22" t="s">
        <v>986</v>
      </c>
      <c r="N38" s="22" t="s">
        <v>986</v>
      </c>
      <c r="O38" s="22" t="s">
        <v>986</v>
      </c>
      <c r="P38" s="19" t="s">
        <v>1470</v>
      </c>
      <c r="Q38" s="50"/>
    </row>
    <row r="39" spans="1:17" ht="15">
      <c r="A39" s="19"/>
      <c r="B39" s="29"/>
      <c r="C39" s="29"/>
      <c r="D39" s="19"/>
      <c r="E39" s="19"/>
      <c r="F39" s="19"/>
      <c r="G39" s="19"/>
      <c r="H39" s="19"/>
      <c r="I39" s="28" t="s">
        <v>903</v>
      </c>
      <c r="J39" s="22">
        <v>0.27</v>
      </c>
      <c r="K39" s="22">
        <v>0.15</v>
      </c>
      <c r="L39" s="22">
        <f>(N39/J39)*100</f>
        <v>66.666666666666671</v>
      </c>
      <c r="M39" s="22" t="s">
        <v>986</v>
      </c>
      <c r="N39" s="22">
        <f>J39-0.09</f>
        <v>0.18000000000000002</v>
      </c>
      <c r="O39" s="22" t="s">
        <v>986</v>
      </c>
      <c r="P39" s="19" t="s">
        <v>1470</v>
      </c>
      <c r="Q39" s="50"/>
    </row>
    <row r="40" spans="1:17" ht="15">
      <c r="A40" s="19"/>
      <c r="B40" s="29"/>
      <c r="C40" s="29"/>
      <c r="D40" s="19"/>
      <c r="E40" s="19"/>
      <c r="F40" s="19"/>
      <c r="G40" s="19"/>
      <c r="H40" s="19"/>
      <c r="I40" s="28" t="s">
        <v>1588</v>
      </c>
      <c r="J40" s="22">
        <v>5.99</v>
      </c>
      <c r="K40" s="22">
        <v>1.33</v>
      </c>
      <c r="L40" s="22">
        <f>(N40/J40)*100</f>
        <v>4.6744574290484184</v>
      </c>
      <c r="M40" s="22" t="s">
        <v>986</v>
      </c>
      <c r="N40" s="22">
        <f>J40-5.71</f>
        <v>0.28000000000000025</v>
      </c>
      <c r="O40" s="22" t="s">
        <v>986</v>
      </c>
      <c r="P40" s="19" t="s">
        <v>1470</v>
      </c>
      <c r="Q40" s="50"/>
    </row>
    <row r="41" spans="1:17" ht="15">
      <c r="A41" s="19"/>
      <c r="B41" s="29"/>
      <c r="C41" s="29"/>
      <c r="D41" s="19"/>
      <c r="E41" s="19"/>
      <c r="F41" s="19"/>
      <c r="G41" s="19"/>
      <c r="H41" s="19"/>
      <c r="I41" s="28" t="s">
        <v>1283</v>
      </c>
      <c r="J41" s="22">
        <v>1</v>
      </c>
      <c r="K41" s="22">
        <v>0.48</v>
      </c>
      <c r="L41" s="22">
        <f>(N41/J41)*100</f>
        <v>42.000000000000007</v>
      </c>
      <c r="M41" s="22" t="s">
        <v>986</v>
      </c>
      <c r="N41" s="22">
        <f>J41-0.58</f>
        <v>0.42000000000000004</v>
      </c>
      <c r="O41" s="22" t="s">
        <v>986</v>
      </c>
      <c r="P41" s="19" t="s">
        <v>1470</v>
      </c>
      <c r="Q41" s="50"/>
    </row>
    <row r="42" spans="1:17" ht="15">
      <c r="A42" s="19"/>
      <c r="B42" s="29"/>
      <c r="C42" s="29"/>
      <c r="D42" s="19"/>
      <c r="E42" s="19"/>
      <c r="F42" s="19"/>
      <c r="G42" s="19"/>
      <c r="H42" s="19"/>
      <c r="I42" s="28" t="s">
        <v>1467</v>
      </c>
      <c r="J42" s="22">
        <v>45.53</v>
      </c>
      <c r="K42" s="22">
        <v>12.65</v>
      </c>
      <c r="L42" s="22">
        <f>(N42/J42)*100</f>
        <v>30.968592137052497</v>
      </c>
      <c r="M42" s="22" t="s">
        <v>986</v>
      </c>
      <c r="N42" s="22">
        <f>J42-31.43</f>
        <v>14.100000000000001</v>
      </c>
      <c r="O42" s="22" t="s">
        <v>986</v>
      </c>
      <c r="P42" s="19" t="s">
        <v>1470</v>
      </c>
      <c r="Q42" s="50"/>
    </row>
    <row r="43" spans="1:17" ht="15">
      <c r="A43" s="19"/>
      <c r="B43" s="29"/>
      <c r="C43" s="29"/>
      <c r="D43" s="19"/>
      <c r="E43" s="19"/>
      <c r="F43" s="19"/>
      <c r="G43" s="19"/>
      <c r="H43" s="19"/>
      <c r="I43" s="28" t="s">
        <v>1372</v>
      </c>
      <c r="J43" s="22" t="s">
        <v>986</v>
      </c>
      <c r="K43" s="22" t="s">
        <v>986</v>
      </c>
      <c r="L43" s="22" t="s">
        <v>986</v>
      </c>
      <c r="M43" s="22" t="s">
        <v>986</v>
      </c>
      <c r="N43" s="22" t="s">
        <v>986</v>
      </c>
      <c r="O43" s="22" t="s">
        <v>986</v>
      </c>
      <c r="P43" s="19" t="s">
        <v>1470</v>
      </c>
      <c r="Q43" s="50"/>
    </row>
    <row r="44" spans="1:17" ht="15">
      <c r="A44" s="19"/>
      <c r="B44" s="29"/>
      <c r="C44" s="29"/>
      <c r="D44" s="19"/>
      <c r="E44" s="19"/>
      <c r="F44" s="19"/>
      <c r="G44" s="19"/>
      <c r="H44" s="19"/>
      <c r="I44" s="28" t="s">
        <v>1183</v>
      </c>
      <c r="J44" s="22" t="s">
        <v>986</v>
      </c>
      <c r="K44" s="22" t="s">
        <v>986</v>
      </c>
      <c r="L44" s="22" t="s">
        <v>986</v>
      </c>
      <c r="M44" s="22" t="s">
        <v>986</v>
      </c>
      <c r="N44" s="22" t="s">
        <v>986</v>
      </c>
      <c r="O44" s="22" t="s">
        <v>986</v>
      </c>
      <c r="P44" s="19" t="s">
        <v>1470</v>
      </c>
      <c r="Q44" s="50"/>
    </row>
    <row r="45" spans="1:17" ht="15">
      <c r="A45" s="19"/>
      <c r="B45" s="29"/>
      <c r="C45" s="29"/>
      <c r="D45" s="19"/>
      <c r="E45" s="19"/>
      <c r="F45" s="19"/>
      <c r="G45" s="19"/>
      <c r="H45" s="19"/>
      <c r="I45" s="28" t="s">
        <v>1184</v>
      </c>
      <c r="J45" s="22">
        <v>53.06</v>
      </c>
      <c r="K45" s="22">
        <v>12.34</v>
      </c>
      <c r="L45" s="22">
        <f t="shared" ref="L45:L50" si="2">(N45/J45)*100</f>
        <v>28.590275160196004</v>
      </c>
      <c r="M45" s="22" t="s">
        <v>986</v>
      </c>
      <c r="N45" s="22">
        <f>J45-37.89</f>
        <v>15.170000000000002</v>
      </c>
      <c r="O45" s="22" t="s">
        <v>986</v>
      </c>
      <c r="P45" s="19" t="s">
        <v>1470</v>
      </c>
      <c r="Q45" s="50"/>
    </row>
    <row r="46" spans="1:17" ht="15">
      <c r="A46" s="19"/>
      <c r="B46" s="29"/>
      <c r="C46" s="29"/>
      <c r="D46" s="19"/>
      <c r="E46" s="19"/>
      <c r="F46" s="19"/>
      <c r="G46" s="19"/>
      <c r="H46" s="19"/>
      <c r="I46" s="28" t="s">
        <v>485</v>
      </c>
      <c r="J46" s="22">
        <v>73</v>
      </c>
      <c r="K46" s="22">
        <v>13</v>
      </c>
      <c r="L46" s="22">
        <f t="shared" si="2"/>
        <v>47.61643835616438</v>
      </c>
      <c r="M46" s="22" t="s">
        <v>986</v>
      </c>
      <c r="N46" s="22">
        <f>J46-38.24</f>
        <v>34.76</v>
      </c>
      <c r="O46" s="22" t="s">
        <v>986</v>
      </c>
      <c r="P46" s="19" t="s">
        <v>1470</v>
      </c>
      <c r="Q46" s="50"/>
    </row>
    <row r="47" spans="1:17" ht="15">
      <c r="A47" s="19" t="s">
        <v>1377</v>
      </c>
      <c r="B47" s="29" t="s">
        <v>1376</v>
      </c>
      <c r="C47" s="29" t="s">
        <v>1256</v>
      </c>
      <c r="D47" s="19" t="s">
        <v>1259</v>
      </c>
      <c r="E47" s="19">
        <v>1992</v>
      </c>
      <c r="F47" s="19">
        <v>9</v>
      </c>
      <c r="G47" s="19">
        <v>25</v>
      </c>
      <c r="H47" s="19" t="s">
        <v>1363</v>
      </c>
      <c r="I47" s="28" t="s">
        <v>1258</v>
      </c>
      <c r="J47" s="22">
        <v>11.62</v>
      </c>
      <c r="K47" s="22">
        <v>1.21</v>
      </c>
      <c r="L47" s="22">
        <f t="shared" si="2"/>
        <v>99.225473321858871</v>
      </c>
      <c r="M47" s="22" t="s">
        <v>986</v>
      </c>
      <c r="N47" s="22">
        <f>J47-0.09</f>
        <v>11.53</v>
      </c>
      <c r="O47" s="22" t="s">
        <v>986</v>
      </c>
      <c r="P47" s="19" t="s">
        <v>1260</v>
      </c>
      <c r="Q47" s="50"/>
    </row>
    <row r="48" spans="1:17" ht="15">
      <c r="A48" s="19"/>
      <c r="B48" s="29"/>
      <c r="C48" s="29"/>
      <c r="D48" s="19"/>
      <c r="E48" s="19"/>
      <c r="F48" s="19"/>
      <c r="G48" s="19"/>
      <c r="H48" s="19"/>
      <c r="I48" s="28" t="s">
        <v>1093</v>
      </c>
      <c r="J48" s="22">
        <v>3.76</v>
      </c>
      <c r="K48" s="22">
        <v>0.67</v>
      </c>
      <c r="L48" s="22">
        <f t="shared" si="2"/>
        <v>87.7659574468085</v>
      </c>
      <c r="M48" s="22" t="s">
        <v>986</v>
      </c>
      <c r="N48" s="22">
        <f>J48-0.46</f>
        <v>3.3</v>
      </c>
      <c r="O48" s="22" t="s">
        <v>986</v>
      </c>
      <c r="P48" s="19" t="s">
        <v>1260</v>
      </c>
      <c r="Q48" s="50"/>
    </row>
    <row r="49" spans="1:17" ht="15">
      <c r="A49" s="19"/>
      <c r="B49" s="29"/>
      <c r="C49" s="29"/>
      <c r="D49" s="19"/>
      <c r="E49" s="19"/>
      <c r="F49" s="19"/>
      <c r="G49" s="19"/>
      <c r="H49" s="19"/>
      <c r="I49" s="28" t="s">
        <v>1261</v>
      </c>
      <c r="J49" s="22">
        <v>0.3</v>
      </c>
      <c r="K49" s="22">
        <v>0.3</v>
      </c>
      <c r="L49" s="22">
        <f t="shared" si="2"/>
        <v>100</v>
      </c>
      <c r="M49" s="22" t="s">
        <v>986</v>
      </c>
      <c r="N49" s="22">
        <f>J49-0</f>
        <v>0.3</v>
      </c>
      <c r="O49" s="22" t="s">
        <v>986</v>
      </c>
      <c r="P49" s="19" t="s">
        <v>1260</v>
      </c>
      <c r="Q49" s="50"/>
    </row>
    <row r="50" spans="1:17" ht="15">
      <c r="A50" s="19"/>
      <c r="B50" s="29"/>
      <c r="C50" s="29"/>
      <c r="D50" s="19"/>
      <c r="E50" s="19"/>
      <c r="F50" s="19"/>
      <c r="G50" s="19"/>
      <c r="H50" s="19"/>
      <c r="I50" s="28" t="s">
        <v>1251</v>
      </c>
      <c r="J50" s="22">
        <v>0.13</v>
      </c>
      <c r="K50" s="22">
        <v>0.1</v>
      </c>
      <c r="L50" s="22">
        <f t="shared" si="2"/>
        <v>92.307692307692307</v>
      </c>
      <c r="M50" s="22" t="s">
        <v>986</v>
      </c>
      <c r="N50" s="22">
        <f>J50-0.01</f>
        <v>0.12000000000000001</v>
      </c>
      <c r="O50" s="22" t="s">
        <v>986</v>
      </c>
      <c r="P50" s="19" t="s">
        <v>1260</v>
      </c>
      <c r="Q50" s="50"/>
    </row>
    <row r="51" spans="1:17" ht="15">
      <c r="A51" s="19"/>
      <c r="B51" s="29"/>
      <c r="C51" s="29"/>
      <c r="D51" s="19"/>
      <c r="E51" s="19"/>
      <c r="F51" s="19"/>
      <c r="G51" s="19"/>
      <c r="H51" s="19"/>
      <c r="I51" s="28" t="s">
        <v>1478</v>
      </c>
      <c r="J51" s="22">
        <v>0.37</v>
      </c>
      <c r="K51" s="22">
        <v>0.26</v>
      </c>
      <c r="L51" s="22" t="s">
        <v>986</v>
      </c>
      <c r="M51" s="22" t="s">
        <v>986</v>
      </c>
      <c r="N51" s="22" t="s">
        <v>986</v>
      </c>
      <c r="O51" s="22" t="s">
        <v>986</v>
      </c>
      <c r="P51" s="19" t="s">
        <v>1260</v>
      </c>
      <c r="Q51" s="50"/>
    </row>
    <row r="52" spans="1:17" ht="15">
      <c r="A52" s="19"/>
      <c r="B52" s="29"/>
      <c r="C52" s="29"/>
      <c r="D52" s="19"/>
      <c r="E52" s="19"/>
      <c r="F52" s="19"/>
      <c r="G52" s="19"/>
      <c r="H52" s="19"/>
      <c r="I52" s="28" t="s">
        <v>1247</v>
      </c>
      <c r="J52" s="22">
        <v>6.12</v>
      </c>
      <c r="K52" s="22">
        <v>1.51</v>
      </c>
      <c r="L52" s="22">
        <f>(N52/J52)*100</f>
        <v>28.104575163398689</v>
      </c>
      <c r="M52" s="22" t="s">
        <v>986</v>
      </c>
      <c r="N52" s="22">
        <f>J52-4.4</f>
        <v>1.7199999999999998</v>
      </c>
      <c r="O52" s="22" t="s">
        <v>986</v>
      </c>
      <c r="P52" s="19" t="s">
        <v>1260</v>
      </c>
      <c r="Q52" s="50"/>
    </row>
    <row r="53" spans="1:17" ht="15">
      <c r="A53" s="19"/>
      <c r="B53" s="29"/>
      <c r="C53" s="29"/>
      <c r="D53" s="19"/>
      <c r="E53" s="19"/>
      <c r="F53" s="19"/>
      <c r="G53" s="19"/>
      <c r="H53" s="19"/>
      <c r="I53" s="28" t="s">
        <v>1588</v>
      </c>
      <c r="J53" s="22">
        <v>37.36</v>
      </c>
      <c r="K53" s="22">
        <v>7.74</v>
      </c>
      <c r="L53" s="22">
        <f>(N53/J53)*100</f>
        <v>20.422912205567449</v>
      </c>
      <c r="M53" s="22" t="s">
        <v>986</v>
      </c>
      <c r="N53" s="22">
        <f>J53-29.73</f>
        <v>7.629999999999999</v>
      </c>
      <c r="O53" s="22" t="s">
        <v>986</v>
      </c>
      <c r="P53" s="19" t="s">
        <v>1260</v>
      </c>
      <c r="Q53" s="50"/>
    </row>
    <row r="54" spans="1:17" ht="15">
      <c r="A54" s="19"/>
      <c r="B54" s="29"/>
      <c r="C54" s="29"/>
      <c r="D54" s="19"/>
      <c r="E54" s="19"/>
      <c r="F54" s="19"/>
      <c r="G54" s="19"/>
      <c r="H54" s="19"/>
      <c r="I54" s="28" t="s">
        <v>1283</v>
      </c>
      <c r="J54" s="22">
        <v>1.64</v>
      </c>
      <c r="K54" s="22">
        <v>1.04</v>
      </c>
      <c r="L54" s="22" t="s">
        <v>986</v>
      </c>
      <c r="M54" s="22" t="s">
        <v>986</v>
      </c>
      <c r="N54" s="22" t="s">
        <v>986</v>
      </c>
      <c r="O54" s="22" t="s">
        <v>986</v>
      </c>
      <c r="P54" s="19" t="s">
        <v>1260</v>
      </c>
      <c r="Q54" s="50"/>
    </row>
    <row r="55" spans="1:17" ht="15">
      <c r="A55" s="19"/>
      <c r="B55" s="29"/>
      <c r="C55" s="29"/>
      <c r="D55" s="19"/>
      <c r="E55" s="19"/>
      <c r="F55" s="19"/>
      <c r="G55" s="19"/>
      <c r="H55" s="19"/>
      <c r="I55" s="28" t="s">
        <v>1467</v>
      </c>
      <c r="J55" s="22">
        <v>57.94</v>
      </c>
      <c r="K55" s="22">
        <v>28.64</v>
      </c>
      <c r="L55" s="22">
        <f>(N55/J55)*100</f>
        <v>0.81118398343113385</v>
      </c>
      <c r="M55" s="22" t="s">
        <v>986</v>
      </c>
      <c r="N55" s="22">
        <f>J55-57.47</f>
        <v>0.46999999999999886</v>
      </c>
      <c r="O55" s="22" t="s">
        <v>986</v>
      </c>
      <c r="P55" s="19" t="s">
        <v>1260</v>
      </c>
      <c r="Q55" s="50"/>
    </row>
    <row r="56" spans="1:17" ht="15">
      <c r="A56" s="19"/>
      <c r="B56" s="29"/>
      <c r="C56" s="29"/>
      <c r="D56" s="19"/>
      <c r="E56" s="19"/>
      <c r="F56" s="19"/>
      <c r="G56" s="19"/>
      <c r="H56" s="19"/>
      <c r="I56" s="28" t="s">
        <v>1372</v>
      </c>
      <c r="J56" s="22" t="s">
        <v>986</v>
      </c>
      <c r="K56" s="22" t="s">
        <v>986</v>
      </c>
      <c r="L56" s="22" t="s">
        <v>986</v>
      </c>
      <c r="M56" s="22" t="s">
        <v>986</v>
      </c>
      <c r="N56" s="22" t="s">
        <v>986</v>
      </c>
      <c r="O56" s="22" t="s">
        <v>986</v>
      </c>
      <c r="P56" s="19" t="s">
        <v>1260</v>
      </c>
      <c r="Q56" s="50"/>
    </row>
    <row r="57" spans="1:17" ht="15">
      <c r="A57" s="19"/>
      <c r="B57" s="29"/>
      <c r="C57" s="29"/>
      <c r="D57" s="19"/>
      <c r="E57" s="19"/>
      <c r="F57" s="19"/>
      <c r="G57" s="19"/>
      <c r="H57" s="19"/>
      <c r="I57" s="28" t="s">
        <v>1463</v>
      </c>
      <c r="J57" s="22" t="s">
        <v>986</v>
      </c>
      <c r="K57" s="22" t="s">
        <v>986</v>
      </c>
      <c r="L57" s="22" t="s">
        <v>986</v>
      </c>
      <c r="M57" s="22" t="s">
        <v>986</v>
      </c>
      <c r="N57" s="22" t="s">
        <v>986</v>
      </c>
      <c r="O57" s="22" t="s">
        <v>986</v>
      </c>
      <c r="P57" s="19" t="s">
        <v>1260</v>
      </c>
      <c r="Q57" s="50"/>
    </row>
    <row r="58" spans="1:17">
      <c r="A58" s="19"/>
      <c r="B58" s="29"/>
      <c r="C58" s="29"/>
      <c r="D58" s="19"/>
      <c r="E58" s="19"/>
      <c r="F58" s="19"/>
      <c r="G58" s="19"/>
      <c r="H58" s="19"/>
      <c r="I58" s="19" t="s">
        <v>1184</v>
      </c>
      <c r="J58" s="22">
        <v>103.56</v>
      </c>
      <c r="K58" s="22">
        <v>35.1</v>
      </c>
      <c r="L58" s="22">
        <f>(N58/J58)*100</f>
        <v>9.0575511780610221</v>
      </c>
      <c r="M58" s="22" t="s">
        <v>986</v>
      </c>
      <c r="N58" s="22">
        <f>J58-94.18</f>
        <v>9.3799999999999955</v>
      </c>
      <c r="O58" s="22" t="s">
        <v>986</v>
      </c>
      <c r="P58" s="19" t="s">
        <v>1260</v>
      </c>
      <c r="Q58" s="50"/>
    </row>
    <row r="59" spans="1:17" ht="14" thickBot="1">
      <c r="A59" s="19"/>
      <c r="B59" s="29"/>
      <c r="C59" s="29"/>
      <c r="D59" s="19"/>
      <c r="E59" s="19"/>
      <c r="F59" s="19"/>
      <c r="G59" s="19"/>
      <c r="H59" s="19"/>
      <c r="I59" s="38" t="s">
        <v>485</v>
      </c>
      <c r="J59" s="45">
        <v>119.24</v>
      </c>
      <c r="K59" s="45">
        <v>35.020000000000003</v>
      </c>
      <c r="L59" s="45">
        <f>(N59/J59)*100</f>
        <v>20.54679637705468</v>
      </c>
      <c r="M59" s="45" t="s">
        <v>986</v>
      </c>
      <c r="N59" s="45">
        <f>J59-94.74</f>
        <v>24.5</v>
      </c>
      <c r="O59" s="45" t="s">
        <v>986</v>
      </c>
      <c r="P59" s="19" t="s">
        <v>1260</v>
      </c>
      <c r="Q59" s="50"/>
    </row>
    <row r="60" spans="1:17" ht="15">
      <c r="A60" s="35"/>
      <c r="B60" s="5"/>
      <c r="C60" s="5"/>
      <c r="D60" s="3"/>
      <c r="E60" s="3"/>
      <c r="F60" s="3"/>
      <c r="G60" s="3"/>
      <c r="H60" s="3"/>
      <c r="I60" s="47" t="s">
        <v>1258</v>
      </c>
      <c r="J60" s="51">
        <f t="shared" ref="J60:J68" si="3">ROUND(AVERAGE(J34,J47),1)</f>
        <v>14.3</v>
      </c>
      <c r="K60" s="51" t="s">
        <v>986</v>
      </c>
      <c r="L60" s="51">
        <f>ROUND(AVERAGE(L34,L47),1)</f>
        <v>98.8</v>
      </c>
      <c r="M60" s="51" t="s">
        <v>986</v>
      </c>
      <c r="N60" s="51">
        <f>ROUND(AVERAGE(N34,N47),1)</f>
        <v>14.1</v>
      </c>
      <c r="O60" s="52" t="s">
        <v>986</v>
      </c>
      <c r="P60" s="3"/>
      <c r="Q60" s="140"/>
    </row>
    <row r="61" spans="1:17" ht="15">
      <c r="A61" s="35"/>
      <c r="B61" s="5"/>
      <c r="C61" s="5"/>
      <c r="D61" s="3"/>
      <c r="E61" s="3"/>
      <c r="F61" s="3"/>
      <c r="G61" s="3"/>
      <c r="H61" s="3"/>
      <c r="I61" s="48" t="s">
        <v>1093</v>
      </c>
      <c r="J61" s="53">
        <f t="shared" si="3"/>
        <v>3.2</v>
      </c>
      <c r="K61" s="53" t="s">
        <v>986</v>
      </c>
      <c r="L61" s="53">
        <f>ROUND(AVERAGE(L35,L48),1)</f>
        <v>92.5</v>
      </c>
      <c r="M61" s="53" t="s">
        <v>986</v>
      </c>
      <c r="N61" s="53">
        <f>ROUND(AVERAGE(N35,N48),1)</f>
        <v>2.9</v>
      </c>
      <c r="O61" s="54" t="s">
        <v>986</v>
      </c>
      <c r="P61" s="3"/>
      <c r="Q61" s="140"/>
    </row>
    <row r="62" spans="1:17" ht="15">
      <c r="A62" s="35"/>
      <c r="B62" s="5"/>
      <c r="C62" s="5"/>
      <c r="D62" s="3"/>
      <c r="E62" s="3"/>
      <c r="F62" s="3"/>
      <c r="G62" s="3"/>
      <c r="H62" s="3"/>
      <c r="I62" s="48" t="s">
        <v>1464</v>
      </c>
      <c r="J62" s="53">
        <f t="shared" si="3"/>
        <v>0.2</v>
      </c>
      <c r="K62" s="53" t="s">
        <v>986</v>
      </c>
      <c r="L62" s="53">
        <f>ROUND(AVERAGE(L36,L49),1)</f>
        <v>95</v>
      </c>
      <c r="M62" s="53" t="s">
        <v>986</v>
      </c>
      <c r="N62" s="53">
        <f>ROUND(AVERAGE(N36,N49),1)</f>
        <v>0.2</v>
      </c>
      <c r="O62" s="54" t="s">
        <v>986</v>
      </c>
      <c r="P62" s="3"/>
      <c r="Q62" s="140"/>
    </row>
    <row r="63" spans="1:17" ht="15">
      <c r="A63" s="35"/>
      <c r="B63" s="5"/>
      <c r="C63" s="5"/>
      <c r="D63" s="3"/>
      <c r="E63" s="3"/>
      <c r="F63" s="3"/>
      <c r="G63" s="3"/>
      <c r="H63" s="3"/>
      <c r="I63" s="48" t="s">
        <v>1251</v>
      </c>
      <c r="J63" s="53">
        <f t="shared" si="3"/>
        <v>0.1</v>
      </c>
      <c r="K63" s="53" t="s">
        <v>986</v>
      </c>
      <c r="L63" s="53">
        <f>ROUND(AVERAGE(L37,L50),1)</f>
        <v>46.2</v>
      </c>
      <c r="M63" s="53" t="s">
        <v>986</v>
      </c>
      <c r="N63" s="53">
        <f>ROUND(AVERAGE(N37,N50),1)</f>
        <v>0.1</v>
      </c>
      <c r="O63" s="54" t="s">
        <v>986</v>
      </c>
      <c r="P63" s="3"/>
      <c r="Q63" s="140"/>
    </row>
    <row r="64" spans="1:17" ht="15">
      <c r="A64" s="35"/>
      <c r="B64" s="5"/>
      <c r="C64" s="5"/>
      <c r="D64" s="3"/>
      <c r="E64" s="3"/>
      <c r="F64" s="3"/>
      <c r="G64" s="3"/>
      <c r="H64" s="3"/>
      <c r="I64" s="48" t="s">
        <v>1478</v>
      </c>
      <c r="J64" s="53">
        <f t="shared" si="3"/>
        <v>0.3</v>
      </c>
      <c r="K64" s="53" t="s">
        <v>986</v>
      </c>
      <c r="L64" s="53" t="s">
        <v>1398</v>
      </c>
      <c r="M64" s="53" t="s">
        <v>986</v>
      </c>
      <c r="N64" s="53" t="s">
        <v>1290</v>
      </c>
      <c r="O64" s="54" t="s">
        <v>986</v>
      </c>
      <c r="P64" s="3"/>
      <c r="Q64" s="140"/>
    </row>
    <row r="65" spans="1:17" s="26" customFormat="1" ht="15">
      <c r="A65" s="35"/>
      <c r="B65" s="5"/>
      <c r="C65" s="5"/>
      <c r="D65" s="3"/>
      <c r="E65" s="3"/>
      <c r="F65" s="3"/>
      <c r="G65" s="3"/>
      <c r="H65" s="3"/>
      <c r="I65" s="48" t="s">
        <v>1247</v>
      </c>
      <c r="J65" s="53">
        <f t="shared" si="3"/>
        <v>3.2</v>
      </c>
      <c r="K65" s="53" t="s">
        <v>986</v>
      </c>
      <c r="L65" s="53">
        <f>ROUND(AVERAGE(L39,L52),1)</f>
        <v>47.4</v>
      </c>
      <c r="M65" s="53" t="s">
        <v>986</v>
      </c>
      <c r="N65" s="53">
        <f>ROUND(AVERAGE(N39,N52),1)</f>
        <v>1</v>
      </c>
      <c r="O65" s="54" t="s">
        <v>986</v>
      </c>
      <c r="P65" s="3"/>
      <c r="Q65" s="140"/>
    </row>
    <row r="66" spans="1:17" s="26" customFormat="1" ht="15">
      <c r="A66" s="35"/>
      <c r="B66" s="5"/>
      <c r="C66" s="5"/>
      <c r="D66" s="3"/>
      <c r="E66" s="3"/>
      <c r="F66" s="3"/>
      <c r="G66" s="3"/>
      <c r="H66" s="3"/>
      <c r="I66" s="48" t="s">
        <v>1588</v>
      </c>
      <c r="J66" s="53">
        <f t="shared" si="3"/>
        <v>21.7</v>
      </c>
      <c r="K66" s="53" t="s">
        <v>986</v>
      </c>
      <c r="L66" s="53">
        <f>ROUND(AVERAGE(L40,L53),1)</f>
        <v>12.5</v>
      </c>
      <c r="M66" s="53" t="s">
        <v>986</v>
      </c>
      <c r="N66" s="53">
        <f>ROUND(AVERAGE(N40,N53),1)</f>
        <v>4</v>
      </c>
      <c r="O66" s="54" t="s">
        <v>986</v>
      </c>
      <c r="P66" s="3"/>
      <c r="Q66" s="140"/>
    </row>
    <row r="67" spans="1:17" s="26" customFormat="1" ht="15">
      <c r="A67" s="35"/>
      <c r="B67" s="5"/>
      <c r="C67" s="5"/>
      <c r="D67" s="3"/>
      <c r="E67" s="3"/>
      <c r="F67" s="3"/>
      <c r="G67" s="3"/>
      <c r="H67" s="3"/>
      <c r="I67" s="48" t="s">
        <v>1283</v>
      </c>
      <c r="J67" s="53">
        <f t="shared" si="3"/>
        <v>1.3</v>
      </c>
      <c r="K67" s="53" t="s">
        <v>986</v>
      </c>
      <c r="L67" s="53">
        <f>ROUND(AVERAGE(L41,L54),1)</f>
        <v>42</v>
      </c>
      <c r="M67" s="53" t="s">
        <v>986</v>
      </c>
      <c r="N67" s="53">
        <f>ROUND(AVERAGE(N41,N54),1)</f>
        <v>0.4</v>
      </c>
      <c r="O67" s="54" t="s">
        <v>986</v>
      </c>
      <c r="P67" s="3"/>
      <c r="Q67" s="140"/>
    </row>
    <row r="68" spans="1:17" s="26" customFormat="1" ht="15">
      <c r="A68" s="35"/>
      <c r="B68" s="5"/>
      <c r="C68" s="5"/>
      <c r="D68" s="3"/>
      <c r="E68" s="3"/>
      <c r="F68" s="3"/>
      <c r="G68" s="3"/>
      <c r="H68" s="3"/>
      <c r="I68" s="48" t="s">
        <v>1467</v>
      </c>
      <c r="J68" s="53">
        <f t="shared" si="3"/>
        <v>51.7</v>
      </c>
      <c r="K68" s="53" t="s">
        <v>986</v>
      </c>
      <c r="L68" s="53">
        <f>ROUND(AVERAGE(L42,L55),1)</f>
        <v>15.9</v>
      </c>
      <c r="M68" s="53" t="s">
        <v>986</v>
      </c>
      <c r="N68" s="53">
        <f>ROUND(AVERAGE(N42,N55),1)</f>
        <v>7.3</v>
      </c>
      <c r="O68" s="54" t="s">
        <v>986</v>
      </c>
      <c r="Q68" s="140"/>
    </row>
    <row r="69" spans="1:17" s="26" customFormat="1" ht="15">
      <c r="A69" s="35"/>
      <c r="B69" s="5"/>
      <c r="C69" s="5"/>
      <c r="D69" s="3"/>
      <c r="E69" s="3"/>
      <c r="F69" s="3"/>
      <c r="G69" s="3"/>
      <c r="H69" s="3"/>
      <c r="I69" s="48" t="s">
        <v>1465</v>
      </c>
      <c r="J69" s="53" t="s">
        <v>1398</v>
      </c>
      <c r="K69" s="53" t="s">
        <v>986</v>
      </c>
      <c r="L69" s="53" t="s">
        <v>1289</v>
      </c>
      <c r="M69" s="53" t="s">
        <v>986</v>
      </c>
      <c r="N69" s="53" t="s">
        <v>1716</v>
      </c>
      <c r="O69" s="54" t="s">
        <v>986</v>
      </c>
      <c r="Q69" s="140"/>
    </row>
    <row r="70" spans="1:17" s="26" customFormat="1" ht="15">
      <c r="A70" s="35"/>
      <c r="B70" s="5"/>
      <c r="C70" s="5"/>
      <c r="D70" s="3"/>
      <c r="E70" s="3"/>
      <c r="F70" s="3"/>
      <c r="G70" s="3"/>
      <c r="H70" s="3"/>
      <c r="I70" s="48" t="s">
        <v>1183</v>
      </c>
      <c r="J70" s="53" t="s">
        <v>1719</v>
      </c>
      <c r="K70" s="53" t="s">
        <v>986</v>
      </c>
      <c r="L70" s="53" t="s">
        <v>1398</v>
      </c>
      <c r="M70" s="53" t="s">
        <v>986</v>
      </c>
      <c r="N70" s="53" t="s">
        <v>1398</v>
      </c>
      <c r="O70" s="54" t="s">
        <v>986</v>
      </c>
      <c r="Q70" s="140"/>
    </row>
    <row r="71" spans="1:17" s="58" customFormat="1" ht="15">
      <c r="A71" s="3"/>
      <c r="B71" s="5"/>
      <c r="C71" s="5"/>
      <c r="D71" s="3"/>
      <c r="E71" s="3"/>
      <c r="F71" s="3"/>
      <c r="G71" s="3"/>
      <c r="H71" s="3"/>
      <c r="I71" s="48" t="s">
        <v>1184</v>
      </c>
      <c r="J71" s="53">
        <f>ROUND(AVERAGE(J45,J58),1)</f>
        <v>78.3</v>
      </c>
      <c r="K71" s="53" t="s">
        <v>986</v>
      </c>
      <c r="L71" s="53">
        <f>ROUND(AVERAGE(L45,L58),1)</f>
        <v>18.8</v>
      </c>
      <c r="M71" s="53" t="s">
        <v>986</v>
      </c>
      <c r="N71" s="53">
        <f>ROUND(AVERAGE(N45,N58),1)</f>
        <v>12.3</v>
      </c>
      <c r="O71" s="54" t="s">
        <v>986</v>
      </c>
      <c r="Q71" s="3"/>
    </row>
    <row r="72" spans="1:17" s="58" customFormat="1" ht="16" thickBot="1">
      <c r="A72" s="3"/>
      <c r="B72" s="5"/>
      <c r="C72" s="5"/>
      <c r="D72" s="3"/>
      <c r="E72" s="3"/>
      <c r="F72" s="3"/>
      <c r="G72" s="3"/>
      <c r="H72" s="3"/>
      <c r="I72" s="49" t="s">
        <v>485</v>
      </c>
      <c r="J72" s="55">
        <f>ROUND(AVERAGE(J46,J59),1)</f>
        <v>96.1</v>
      </c>
      <c r="K72" s="55" t="s">
        <v>986</v>
      </c>
      <c r="L72" s="55">
        <f>ROUND(AVERAGE(L46,L59),1)</f>
        <v>34.1</v>
      </c>
      <c r="M72" s="55" t="s">
        <v>986</v>
      </c>
      <c r="N72" s="55">
        <f>ROUND(AVERAGE(N46,N59),1)</f>
        <v>29.6</v>
      </c>
      <c r="O72" s="56" t="s">
        <v>986</v>
      </c>
      <c r="P72" s="3"/>
      <c r="Q72" s="3"/>
    </row>
    <row r="73" spans="1:17" s="58" customFormat="1" ht="15">
      <c r="A73" s="3"/>
      <c r="B73" s="5"/>
      <c r="C73" s="5"/>
      <c r="D73" s="3"/>
      <c r="E73" s="3"/>
      <c r="F73" s="3"/>
      <c r="G73" s="3"/>
      <c r="H73" s="3"/>
      <c r="I73" s="59"/>
      <c r="J73" s="144"/>
      <c r="K73" s="144"/>
      <c r="L73" s="144"/>
      <c r="M73" s="144"/>
      <c r="N73" s="144"/>
      <c r="O73" s="144"/>
      <c r="P73" s="3"/>
      <c r="Q73" s="3"/>
    </row>
    <row r="74" spans="1:17" s="58" customFormat="1" ht="15">
      <c r="A74" s="293"/>
      <c r="B74" s="297"/>
      <c r="C74" s="297"/>
      <c r="D74" s="293"/>
      <c r="E74" s="293"/>
      <c r="F74" s="293"/>
      <c r="G74" s="293"/>
      <c r="H74" s="293"/>
      <c r="I74" s="294"/>
      <c r="J74" s="295"/>
      <c r="K74" s="295"/>
      <c r="L74" s="295"/>
      <c r="M74" s="295"/>
      <c r="N74" s="295"/>
      <c r="O74" s="295"/>
      <c r="P74" s="293"/>
      <c r="Q74" s="3"/>
    </row>
    <row r="75" spans="1:17" s="58" customFormat="1" ht="16" thickBot="1">
      <c r="A75" s="3"/>
      <c r="B75" s="5"/>
      <c r="C75" s="5"/>
      <c r="D75" s="3"/>
      <c r="E75" s="3"/>
      <c r="F75" s="3"/>
      <c r="G75" s="3"/>
      <c r="H75" s="3"/>
      <c r="I75" s="59"/>
      <c r="J75" s="144"/>
      <c r="K75" s="144"/>
      <c r="L75" s="144"/>
      <c r="M75" s="144"/>
      <c r="N75" s="144"/>
      <c r="O75" s="144"/>
      <c r="P75" s="3"/>
      <c r="Q75" s="3"/>
    </row>
    <row r="76" spans="1:17" ht="16" thickBot="1">
      <c r="A76" s="19" t="s">
        <v>1328</v>
      </c>
      <c r="B76" s="29" t="s">
        <v>1456</v>
      </c>
      <c r="C76" s="29" t="s">
        <v>1457</v>
      </c>
      <c r="D76" s="19" t="s">
        <v>1136</v>
      </c>
      <c r="E76" s="19">
        <v>1993</v>
      </c>
      <c r="F76" s="19">
        <v>3</v>
      </c>
      <c r="G76" s="19" t="s">
        <v>1046</v>
      </c>
      <c r="H76" s="27" t="s">
        <v>1363</v>
      </c>
      <c r="I76" s="62" t="s">
        <v>36</v>
      </c>
      <c r="J76" s="94">
        <v>118.5</v>
      </c>
      <c r="K76" s="94" t="s">
        <v>1046</v>
      </c>
      <c r="L76" s="94">
        <v>20.3</v>
      </c>
      <c r="M76" s="94" t="s">
        <v>1046</v>
      </c>
      <c r="N76" s="94">
        <f>118.5-94.4</f>
        <v>24.099999999999994</v>
      </c>
      <c r="O76" s="95" t="s">
        <v>1046</v>
      </c>
      <c r="P76" s="30" t="s">
        <v>1614</v>
      </c>
      <c r="Q76" s="140"/>
    </row>
    <row r="77" spans="1:17" ht="15">
      <c r="A77" s="3"/>
      <c r="B77" s="5"/>
      <c r="C77" s="5"/>
      <c r="D77" s="3"/>
      <c r="E77" s="3"/>
      <c r="F77" s="3"/>
      <c r="G77" s="3"/>
      <c r="H77" s="3"/>
      <c r="I77" s="59"/>
      <c r="J77" s="144"/>
      <c r="K77" s="144"/>
      <c r="L77" s="144"/>
      <c r="M77" s="144"/>
      <c r="N77" s="144"/>
      <c r="O77" s="144"/>
      <c r="P77" s="3"/>
      <c r="Q77" s="140"/>
    </row>
    <row r="78" spans="1:17" s="58" customFormat="1" ht="15">
      <c r="A78" s="293"/>
      <c r="B78" s="297"/>
      <c r="C78" s="297"/>
      <c r="D78" s="293"/>
      <c r="E78" s="293"/>
      <c r="F78" s="293"/>
      <c r="G78" s="293"/>
      <c r="H78" s="293"/>
      <c r="I78" s="294"/>
      <c r="J78" s="295"/>
      <c r="K78" s="295"/>
      <c r="L78" s="295"/>
      <c r="M78" s="295"/>
      <c r="N78" s="295"/>
      <c r="O78" s="295"/>
      <c r="P78" s="293"/>
      <c r="Q78" s="3"/>
    </row>
    <row r="79" spans="1:17" s="58" customFormat="1" ht="15">
      <c r="A79" s="3"/>
      <c r="B79" s="5"/>
      <c r="C79" s="5"/>
      <c r="D79" s="3"/>
      <c r="E79" s="3"/>
      <c r="F79" s="3"/>
      <c r="G79" s="3"/>
      <c r="H79" s="3"/>
      <c r="I79" s="59"/>
      <c r="J79" s="144"/>
      <c r="K79" s="144"/>
      <c r="L79" s="144"/>
      <c r="M79" s="144"/>
      <c r="N79" s="144"/>
      <c r="O79" s="144"/>
      <c r="P79" s="3"/>
      <c r="Q79" s="3"/>
    </row>
    <row r="80" spans="1:17" s="1" customFormat="1">
      <c r="A80" s="19" t="s">
        <v>1476</v>
      </c>
      <c r="B80" s="29" t="s">
        <v>1477</v>
      </c>
      <c r="C80" s="29" t="s">
        <v>1579</v>
      </c>
      <c r="D80" s="19" t="s">
        <v>1501</v>
      </c>
      <c r="E80" s="19">
        <v>1995</v>
      </c>
      <c r="F80" s="19">
        <v>6</v>
      </c>
      <c r="G80" s="19">
        <v>15</v>
      </c>
      <c r="H80" s="19" t="s">
        <v>554</v>
      </c>
      <c r="I80" s="19" t="s">
        <v>1530</v>
      </c>
      <c r="J80" s="22">
        <v>5</v>
      </c>
      <c r="K80" s="22">
        <v>0.37</v>
      </c>
      <c r="L80" s="22">
        <v>100</v>
      </c>
      <c r="M80" s="22">
        <v>0</v>
      </c>
      <c r="N80" s="22">
        <f>J80*(L80/100)</f>
        <v>5</v>
      </c>
      <c r="O80" s="22" t="s">
        <v>1826</v>
      </c>
      <c r="P80" s="19" t="s">
        <v>1429</v>
      </c>
      <c r="Q80" s="3"/>
    </row>
    <row r="81" spans="1:17" s="1" customFormat="1">
      <c r="A81" s="19"/>
      <c r="B81" s="29"/>
      <c r="C81" s="29"/>
      <c r="D81" s="19"/>
      <c r="E81" s="19"/>
      <c r="F81" s="19"/>
      <c r="G81" s="19"/>
      <c r="H81" s="19"/>
      <c r="I81" s="19" t="s">
        <v>1430</v>
      </c>
      <c r="J81" s="22" t="s">
        <v>1826</v>
      </c>
      <c r="K81" s="22" t="s">
        <v>1826</v>
      </c>
      <c r="L81" s="22" t="s">
        <v>1826</v>
      </c>
      <c r="M81" s="22" t="s">
        <v>1826</v>
      </c>
      <c r="N81" s="22" t="s">
        <v>1826</v>
      </c>
      <c r="O81" s="22" t="s">
        <v>1826</v>
      </c>
      <c r="P81" s="19" t="s">
        <v>1429</v>
      </c>
      <c r="Q81" s="3"/>
    </row>
    <row r="82" spans="1:17" s="1" customFormat="1">
      <c r="A82" s="19"/>
      <c r="B82" s="29"/>
      <c r="C82" s="29"/>
      <c r="D82" s="19"/>
      <c r="E82" s="19"/>
      <c r="F82" s="19"/>
      <c r="G82" s="19"/>
      <c r="H82" s="19"/>
      <c r="I82" s="19" t="s">
        <v>1261</v>
      </c>
      <c r="J82" s="22">
        <v>0.6</v>
      </c>
      <c r="K82" s="22">
        <v>0.2</v>
      </c>
      <c r="L82" s="22">
        <v>93.6</v>
      </c>
      <c r="M82" s="22">
        <v>12.7</v>
      </c>
      <c r="N82" s="22">
        <f t="shared" ref="N82:N97" si="4">J82*(L82/100)</f>
        <v>0.56159999999999999</v>
      </c>
      <c r="O82" s="22" t="s">
        <v>1826</v>
      </c>
      <c r="P82" s="19" t="s">
        <v>1429</v>
      </c>
      <c r="Q82" s="3"/>
    </row>
    <row r="83" spans="1:17" s="1" customFormat="1">
      <c r="A83" s="19"/>
      <c r="B83" s="29"/>
      <c r="C83" s="29"/>
      <c r="D83" s="19"/>
      <c r="E83" s="19"/>
      <c r="F83" s="19"/>
      <c r="G83" s="19"/>
      <c r="H83" s="19"/>
      <c r="I83" s="19" t="s">
        <v>1401</v>
      </c>
      <c r="J83" s="22">
        <v>13</v>
      </c>
      <c r="K83" s="22">
        <v>2.2000000000000002</v>
      </c>
      <c r="L83" s="22">
        <v>86</v>
      </c>
      <c r="M83" s="22">
        <v>7</v>
      </c>
      <c r="N83" s="22">
        <f t="shared" si="4"/>
        <v>11.18</v>
      </c>
      <c r="O83" s="22" t="s">
        <v>1826</v>
      </c>
      <c r="P83" s="19" t="s">
        <v>1429</v>
      </c>
      <c r="Q83" s="3"/>
    </row>
    <row r="84" spans="1:17" s="1" customFormat="1">
      <c r="A84" s="19"/>
      <c r="B84" s="29"/>
      <c r="C84" s="29"/>
      <c r="D84" s="19"/>
      <c r="E84" s="19"/>
      <c r="F84" s="19"/>
      <c r="G84" s="19"/>
      <c r="H84" s="19"/>
      <c r="I84" s="19" t="s">
        <v>901</v>
      </c>
      <c r="J84" s="22">
        <v>0.1</v>
      </c>
      <c r="K84" s="22">
        <v>0.03</v>
      </c>
      <c r="L84" s="22">
        <v>72.2</v>
      </c>
      <c r="M84" s="22">
        <v>18</v>
      </c>
      <c r="N84" s="22">
        <f t="shared" si="4"/>
        <v>7.22E-2</v>
      </c>
      <c r="O84" s="22" t="s">
        <v>1826</v>
      </c>
      <c r="P84" s="19" t="s">
        <v>1429</v>
      </c>
      <c r="Q84" s="3"/>
    </row>
    <row r="85" spans="1:17" s="1" customFormat="1">
      <c r="A85" s="19"/>
      <c r="B85" s="29"/>
      <c r="C85" s="29"/>
      <c r="D85" s="19"/>
      <c r="E85" s="19"/>
      <c r="F85" s="19"/>
      <c r="G85" s="19"/>
      <c r="H85" s="19"/>
      <c r="I85" s="19" t="s">
        <v>1478</v>
      </c>
      <c r="J85" s="22">
        <v>1.2</v>
      </c>
      <c r="K85" s="22">
        <v>0.4</v>
      </c>
      <c r="L85" s="22">
        <v>77.7</v>
      </c>
      <c r="M85" s="22">
        <v>8.8000000000000007</v>
      </c>
      <c r="N85" s="22">
        <f t="shared" si="4"/>
        <v>0.93240000000000001</v>
      </c>
      <c r="O85" s="22" t="s">
        <v>1826</v>
      </c>
      <c r="P85" s="19" t="s">
        <v>1429</v>
      </c>
      <c r="Q85" s="3"/>
    </row>
    <row r="86" spans="1:17" s="1" customFormat="1">
      <c r="A86" s="19"/>
      <c r="B86" s="29"/>
      <c r="C86" s="29"/>
      <c r="D86" s="19"/>
      <c r="E86" s="19"/>
      <c r="F86" s="19"/>
      <c r="G86" s="19"/>
      <c r="H86" s="19"/>
      <c r="I86" s="19" t="s">
        <v>903</v>
      </c>
      <c r="J86" s="22">
        <v>6.9</v>
      </c>
      <c r="K86" s="22">
        <v>0.7</v>
      </c>
      <c r="L86" s="22">
        <v>50</v>
      </c>
      <c r="M86" s="22">
        <v>7</v>
      </c>
      <c r="N86" s="22">
        <f t="shared" si="4"/>
        <v>3.45</v>
      </c>
      <c r="O86" s="22" t="s">
        <v>1826</v>
      </c>
      <c r="P86" s="19" t="s">
        <v>1429</v>
      </c>
      <c r="Q86" s="3"/>
    </row>
    <row r="87" spans="1:17" s="1" customFormat="1">
      <c r="A87" s="19"/>
      <c r="B87" s="29"/>
      <c r="C87" s="29"/>
      <c r="D87" s="19"/>
      <c r="E87" s="19"/>
      <c r="F87" s="19"/>
      <c r="G87" s="19"/>
      <c r="H87" s="19"/>
      <c r="I87" s="19" t="s">
        <v>1632</v>
      </c>
      <c r="J87" s="22">
        <v>9.1999999999999993</v>
      </c>
      <c r="K87" s="22">
        <v>1.8</v>
      </c>
      <c r="L87" s="22">
        <v>58.4</v>
      </c>
      <c r="M87" s="22">
        <v>8.3000000000000007</v>
      </c>
      <c r="N87" s="22">
        <f t="shared" si="4"/>
        <v>5.3727999999999989</v>
      </c>
      <c r="O87" s="22" t="s">
        <v>1826</v>
      </c>
      <c r="P87" s="19" t="s">
        <v>1429</v>
      </c>
      <c r="Q87" s="3"/>
    </row>
    <row r="88" spans="1:17" s="1" customFormat="1">
      <c r="A88" s="19"/>
      <c r="B88" s="29"/>
      <c r="C88" s="29"/>
      <c r="D88" s="19"/>
      <c r="E88" s="19"/>
      <c r="F88" s="19"/>
      <c r="G88" s="19"/>
      <c r="H88" s="19"/>
      <c r="I88" s="19" t="s">
        <v>1503</v>
      </c>
      <c r="J88" s="22">
        <v>1.1000000000000001</v>
      </c>
      <c r="K88" s="22">
        <v>0.36</v>
      </c>
      <c r="L88" s="22">
        <v>100</v>
      </c>
      <c r="M88" s="22">
        <v>0</v>
      </c>
      <c r="N88" s="22">
        <f t="shared" si="4"/>
        <v>1.1000000000000001</v>
      </c>
      <c r="O88" s="22" t="s">
        <v>1826</v>
      </c>
      <c r="P88" s="19" t="s">
        <v>1429</v>
      </c>
      <c r="Q88" s="3"/>
    </row>
    <row r="89" spans="1:17" s="1" customFormat="1">
      <c r="A89" s="19"/>
      <c r="B89" s="29"/>
      <c r="C89" s="29"/>
      <c r="D89" s="19"/>
      <c r="E89" s="19"/>
      <c r="F89" s="19"/>
      <c r="G89" s="19"/>
      <c r="H89" s="19"/>
      <c r="I89" s="19" t="s">
        <v>1408</v>
      </c>
      <c r="J89" s="22">
        <v>10.4</v>
      </c>
      <c r="K89" s="22">
        <v>2</v>
      </c>
      <c r="L89" s="22">
        <v>54.4</v>
      </c>
      <c r="M89" s="22">
        <v>8.8000000000000007</v>
      </c>
      <c r="N89" s="22">
        <f t="shared" si="4"/>
        <v>5.6576000000000004</v>
      </c>
      <c r="O89" s="22" t="s">
        <v>1826</v>
      </c>
      <c r="P89" s="19" t="s">
        <v>1429</v>
      </c>
      <c r="Q89" s="3"/>
    </row>
    <row r="90" spans="1:17" s="1" customFormat="1">
      <c r="A90" s="19"/>
      <c r="B90" s="29"/>
      <c r="C90" s="29"/>
      <c r="D90" s="19"/>
      <c r="E90" s="19"/>
      <c r="F90" s="19"/>
      <c r="G90" s="19"/>
      <c r="H90" s="19"/>
      <c r="I90" s="19" t="s">
        <v>1422</v>
      </c>
      <c r="J90" s="22">
        <v>0.6</v>
      </c>
      <c r="K90" s="22">
        <v>0.63</v>
      </c>
      <c r="L90" s="22">
        <v>100</v>
      </c>
      <c r="M90" s="22">
        <v>0</v>
      </c>
      <c r="N90" s="22">
        <f t="shared" si="4"/>
        <v>0.6</v>
      </c>
      <c r="O90" s="22" t="s">
        <v>1826</v>
      </c>
      <c r="P90" s="19" t="s">
        <v>1429</v>
      </c>
      <c r="Q90" s="3"/>
    </row>
    <row r="91" spans="1:17" s="1" customFormat="1">
      <c r="A91" s="19"/>
      <c r="B91" s="29"/>
      <c r="C91" s="29"/>
      <c r="D91" s="19"/>
      <c r="E91" s="19"/>
      <c r="F91" s="19"/>
      <c r="G91" s="19"/>
      <c r="H91" s="19"/>
      <c r="I91" s="19" t="s">
        <v>1423</v>
      </c>
      <c r="J91" s="22">
        <v>0.6</v>
      </c>
      <c r="K91" s="22">
        <v>0.4</v>
      </c>
      <c r="L91" s="22">
        <v>100</v>
      </c>
      <c r="M91" s="22">
        <v>0</v>
      </c>
      <c r="N91" s="22">
        <f t="shared" si="4"/>
        <v>0.6</v>
      </c>
      <c r="O91" s="22" t="s">
        <v>1826</v>
      </c>
      <c r="P91" s="19" t="s">
        <v>1429</v>
      </c>
      <c r="Q91" s="3"/>
    </row>
    <row r="92" spans="1:17" s="1" customFormat="1">
      <c r="A92" s="19"/>
      <c r="B92" s="29"/>
      <c r="C92" s="29"/>
      <c r="D92" s="19"/>
      <c r="E92" s="19"/>
      <c r="F92" s="19"/>
      <c r="G92" s="19"/>
      <c r="H92" s="19"/>
      <c r="I92" s="19" t="s">
        <v>1427</v>
      </c>
      <c r="J92" s="22">
        <v>1.2</v>
      </c>
      <c r="K92" s="22">
        <v>0.73</v>
      </c>
      <c r="L92" s="22">
        <v>100</v>
      </c>
      <c r="M92" s="22">
        <v>0</v>
      </c>
      <c r="N92" s="22">
        <f t="shared" si="4"/>
        <v>1.2</v>
      </c>
      <c r="O92" s="22" t="s">
        <v>1826</v>
      </c>
      <c r="P92" s="19" t="s">
        <v>1429</v>
      </c>
      <c r="Q92" s="3"/>
    </row>
    <row r="93" spans="1:17" s="1" customFormat="1">
      <c r="A93" s="19"/>
      <c r="B93" s="29"/>
      <c r="C93" s="29"/>
      <c r="D93" s="19"/>
      <c r="E93" s="19"/>
      <c r="F93" s="19"/>
      <c r="G93" s="19"/>
      <c r="H93" s="19"/>
      <c r="I93" s="19" t="s">
        <v>1184</v>
      </c>
      <c r="J93" s="22">
        <v>19.8</v>
      </c>
      <c r="K93" s="22">
        <v>2.4</v>
      </c>
      <c r="L93" s="22">
        <v>52.3</v>
      </c>
      <c r="M93" s="22">
        <v>6.5</v>
      </c>
      <c r="N93" s="22">
        <f t="shared" si="4"/>
        <v>10.355400000000001</v>
      </c>
      <c r="O93" s="22" t="s">
        <v>1826</v>
      </c>
      <c r="P93" s="19" t="s">
        <v>1429</v>
      </c>
      <c r="Q93" s="3"/>
    </row>
    <row r="94" spans="1:17" s="1" customFormat="1">
      <c r="A94" s="19"/>
      <c r="B94" s="29"/>
      <c r="C94" s="29"/>
      <c r="D94" s="19"/>
      <c r="E94" s="19"/>
      <c r="F94" s="19"/>
      <c r="G94" s="19"/>
      <c r="H94" s="19"/>
      <c r="I94" s="19" t="s">
        <v>1420</v>
      </c>
      <c r="J94" s="22">
        <v>0.8</v>
      </c>
      <c r="K94" s="22">
        <v>0.7</v>
      </c>
      <c r="L94" s="22">
        <v>59</v>
      </c>
      <c r="M94" s="22">
        <v>5.4</v>
      </c>
      <c r="N94" s="22">
        <f t="shared" si="4"/>
        <v>0.47199999999999998</v>
      </c>
      <c r="O94" s="22" t="s">
        <v>1826</v>
      </c>
      <c r="P94" s="19" t="s">
        <v>1429</v>
      </c>
      <c r="Q94" s="3"/>
    </row>
    <row r="95" spans="1:17" s="1" customFormat="1">
      <c r="A95" s="19"/>
      <c r="B95" s="29"/>
      <c r="C95" s="29"/>
      <c r="D95" s="19"/>
      <c r="E95" s="19"/>
      <c r="F95" s="19"/>
      <c r="G95" s="19"/>
      <c r="H95" s="19"/>
      <c r="I95" s="19" t="s">
        <v>1428</v>
      </c>
      <c r="J95" s="22">
        <v>6.7</v>
      </c>
      <c r="K95" s="22">
        <v>2.2000000000000002</v>
      </c>
      <c r="L95" s="22">
        <v>32.700000000000003</v>
      </c>
      <c r="M95" s="22">
        <v>19.2</v>
      </c>
      <c r="N95" s="22">
        <f t="shared" si="4"/>
        <v>2.1909000000000001</v>
      </c>
      <c r="O95" s="22" t="s">
        <v>1826</v>
      </c>
      <c r="P95" s="19" t="s">
        <v>1429</v>
      </c>
      <c r="Q95" s="3"/>
    </row>
    <row r="96" spans="1:17" s="1" customFormat="1">
      <c r="A96" s="19"/>
      <c r="B96" s="29"/>
      <c r="C96" s="29"/>
      <c r="D96" s="19"/>
      <c r="E96" s="19"/>
      <c r="F96" s="19"/>
      <c r="G96" s="19"/>
      <c r="H96" s="19"/>
      <c r="I96" s="19" t="s">
        <v>1098</v>
      </c>
      <c r="J96" s="22">
        <v>40.299999999999997</v>
      </c>
      <c r="K96" s="22">
        <v>6.9</v>
      </c>
      <c r="L96" s="22">
        <v>63.1</v>
      </c>
      <c r="M96" s="22">
        <v>4.5</v>
      </c>
      <c r="N96" s="22">
        <f t="shared" si="4"/>
        <v>25.429299999999998</v>
      </c>
      <c r="O96" s="22" t="s">
        <v>1826</v>
      </c>
      <c r="P96" s="19" t="s">
        <v>1429</v>
      </c>
      <c r="Q96" s="3"/>
    </row>
    <row r="97" spans="1:17" s="1" customFormat="1">
      <c r="A97" s="19" t="s">
        <v>1476</v>
      </c>
      <c r="B97" s="29" t="s">
        <v>1477</v>
      </c>
      <c r="C97" s="29" t="s">
        <v>1579</v>
      </c>
      <c r="D97" s="19" t="s">
        <v>1501</v>
      </c>
      <c r="E97" s="19">
        <v>1995</v>
      </c>
      <c r="F97" s="19">
        <v>6</v>
      </c>
      <c r="G97" s="19">
        <v>15</v>
      </c>
      <c r="H97" s="19" t="s">
        <v>554</v>
      </c>
      <c r="I97" s="19" t="s">
        <v>1530</v>
      </c>
      <c r="J97" s="22">
        <v>5.5</v>
      </c>
      <c r="K97" s="22">
        <v>0.5</v>
      </c>
      <c r="L97" s="22">
        <v>94.3</v>
      </c>
      <c r="M97" s="22">
        <v>5.8</v>
      </c>
      <c r="N97" s="22">
        <f t="shared" si="4"/>
        <v>5.1864999999999997</v>
      </c>
      <c r="O97" s="22" t="s">
        <v>1826</v>
      </c>
      <c r="P97" s="19" t="s">
        <v>1442</v>
      </c>
      <c r="Q97" s="3"/>
    </row>
    <row r="98" spans="1:17" s="1" customFormat="1">
      <c r="A98" s="19"/>
      <c r="B98" s="29"/>
      <c r="C98" s="29"/>
      <c r="D98" s="19"/>
      <c r="E98" s="19"/>
      <c r="F98" s="19"/>
      <c r="G98" s="19"/>
      <c r="H98" s="19"/>
      <c r="I98" s="19" t="s">
        <v>1364</v>
      </c>
      <c r="J98" s="22" t="s">
        <v>1826</v>
      </c>
      <c r="K98" s="22" t="s">
        <v>1826</v>
      </c>
      <c r="L98" s="22" t="s">
        <v>1826</v>
      </c>
      <c r="M98" s="22" t="s">
        <v>1826</v>
      </c>
      <c r="N98" s="22" t="s">
        <v>1826</v>
      </c>
      <c r="O98" s="22" t="s">
        <v>1826</v>
      </c>
      <c r="P98" s="19" t="s">
        <v>1442</v>
      </c>
      <c r="Q98" s="3"/>
    </row>
    <row r="99" spans="1:17" s="1" customFormat="1">
      <c r="A99" s="19"/>
      <c r="B99" s="29"/>
      <c r="C99" s="29"/>
      <c r="D99" s="19"/>
      <c r="E99" s="19"/>
      <c r="F99" s="19"/>
      <c r="G99" s="19"/>
      <c r="H99" s="19"/>
      <c r="I99" s="19" t="s">
        <v>1261</v>
      </c>
      <c r="J99" s="22">
        <v>1</v>
      </c>
      <c r="K99" s="22">
        <v>0.6</v>
      </c>
      <c r="L99" s="22">
        <v>100</v>
      </c>
      <c r="M99" s="22">
        <v>0</v>
      </c>
      <c r="N99" s="22">
        <f t="shared" ref="N99:N106" si="5">J99*(L99/100)</f>
        <v>1</v>
      </c>
      <c r="O99" s="22" t="s">
        <v>1826</v>
      </c>
      <c r="P99" s="19" t="s">
        <v>1442</v>
      </c>
      <c r="Q99" s="3"/>
    </row>
    <row r="100" spans="1:17" s="1" customFormat="1">
      <c r="A100" s="19"/>
      <c r="B100" s="29"/>
      <c r="C100" s="29"/>
      <c r="D100" s="19"/>
      <c r="E100" s="19"/>
      <c r="F100" s="19"/>
      <c r="G100" s="19"/>
      <c r="H100" s="19"/>
      <c r="I100" s="19" t="s">
        <v>1401</v>
      </c>
      <c r="J100" s="22">
        <v>11</v>
      </c>
      <c r="K100" s="22">
        <v>1.2</v>
      </c>
      <c r="L100" s="22">
        <v>87.5</v>
      </c>
      <c r="M100" s="22">
        <v>8</v>
      </c>
      <c r="N100" s="22">
        <f t="shared" si="5"/>
        <v>9.625</v>
      </c>
      <c r="O100" s="22" t="s">
        <v>1826</v>
      </c>
      <c r="P100" s="19" t="s">
        <v>1442</v>
      </c>
      <c r="Q100" s="3"/>
    </row>
    <row r="101" spans="1:17" s="1" customFormat="1">
      <c r="A101" s="19"/>
      <c r="B101" s="29"/>
      <c r="C101" s="29"/>
      <c r="D101" s="19"/>
      <c r="E101" s="19"/>
      <c r="F101" s="19"/>
      <c r="G101" s="19"/>
      <c r="H101" s="19"/>
      <c r="I101" s="19" t="s">
        <v>901</v>
      </c>
      <c r="J101" s="22">
        <v>0.03</v>
      </c>
      <c r="K101" s="22">
        <v>0.02</v>
      </c>
      <c r="L101" s="22">
        <v>100</v>
      </c>
      <c r="M101" s="22">
        <v>0</v>
      </c>
      <c r="N101" s="22">
        <f t="shared" si="5"/>
        <v>0.03</v>
      </c>
      <c r="O101" s="22" t="s">
        <v>1826</v>
      </c>
      <c r="P101" s="19" t="s">
        <v>1442</v>
      </c>
      <c r="Q101" s="3"/>
    </row>
    <row r="102" spans="1:17" s="1" customFormat="1">
      <c r="A102" s="19"/>
      <c r="B102" s="29"/>
      <c r="C102" s="29"/>
      <c r="D102" s="19"/>
      <c r="E102" s="19"/>
      <c r="F102" s="19"/>
      <c r="G102" s="19"/>
      <c r="H102" s="19"/>
      <c r="I102" s="19" t="s">
        <v>1478</v>
      </c>
      <c r="J102" s="22">
        <v>0.7</v>
      </c>
      <c r="K102" s="22">
        <v>0.2</v>
      </c>
      <c r="L102" s="22">
        <v>70.2</v>
      </c>
      <c r="M102" s="22">
        <v>15.1</v>
      </c>
      <c r="N102" s="22">
        <f t="shared" si="5"/>
        <v>0.4914</v>
      </c>
      <c r="O102" s="22" t="s">
        <v>1826</v>
      </c>
      <c r="P102" s="19" t="s">
        <v>1442</v>
      </c>
      <c r="Q102" s="3"/>
    </row>
    <row r="103" spans="1:17" s="1" customFormat="1">
      <c r="A103" s="19"/>
      <c r="B103" s="29"/>
      <c r="C103" s="29"/>
      <c r="D103" s="19"/>
      <c r="E103" s="19"/>
      <c r="F103" s="19"/>
      <c r="G103" s="19"/>
      <c r="H103" s="19"/>
      <c r="I103" s="19" t="s">
        <v>903</v>
      </c>
      <c r="J103" s="22">
        <v>3.1</v>
      </c>
      <c r="K103" s="22">
        <v>0.5</v>
      </c>
      <c r="L103" s="22">
        <v>18.399999999999999</v>
      </c>
      <c r="M103" s="22">
        <v>16.2</v>
      </c>
      <c r="N103" s="22">
        <f t="shared" si="5"/>
        <v>0.57040000000000002</v>
      </c>
      <c r="O103" s="22" t="s">
        <v>1826</v>
      </c>
      <c r="P103" s="19" t="s">
        <v>1442</v>
      </c>
      <c r="Q103" s="3"/>
    </row>
    <row r="104" spans="1:17" s="1" customFormat="1">
      <c r="A104" s="19"/>
      <c r="B104" s="29"/>
      <c r="C104" s="29"/>
      <c r="D104" s="19"/>
      <c r="E104" s="19"/>
      <c r="F104" s="19"/>
      <c r="G104" s="19"/>
      <c r="H104" s="19"/>
      <c r="I104" s="19" t="s">
        <v>1600</v>
      </c>
      <c r="J104" s="22">
        <v>8.8000000000000007</v>
      </c>
      <c r="K104" s="22">
        <v>1.5</v>
      </c>
      <c r="L104" s="22">
        <v>81.599999999999994</v>
      </c>
      <c r="M104" s="22">
        <v>6.3</v>
      </c>
      <c r="N104" s="22">
        <f t="shared" si="5"/>
        <v>7.1808000000000005</v>
      </c>
      <c r="O104" s="22" t="s">
        <v>1826</v>
      </c>
      <c r="P104" s="19" t="s">
        <v>1442</v>
      </c>
      <c r="Q104" s="3"/>
    </row>
    <row r="105" spans="1:17" s="1" customFormat="1">
      <c r="A105" s="19"/>
      <c r="B105" s="29"/>
      <c r="C105" s="29"/>
      <c r="D105" s="19"/>
      <c r="E105" s="19"/>
      <c r="F105" s="19"/>
      <c r="G105" s="19"/>
      <c r="H105" s="19"/>
      <c r="I105" s="19" t="s">
        <v>1503</v>
      </c>
      <c r="J105" s="22">
        <v>0.1</v>
      </c>
      <c r="K105" s="22">
        <v>0.1</v>
      </c>
      <c r="L105" s="22">
        <v>100</v>
      </c>
      <c r="M105" s="22">
        <v>0</v>
      </c>
      <c r="N105" s="22">
        <f t="shared" si="5"/>
        <v>0.1</v>
      </c>
      <c r="O105" s="22" t="s">
        <v>1826</v>
      </c>
      <c r="P105" s="19" t="s">
        <v>1442</v>
      </c>
      <c r="Q105" s="3"/>
    </row>
    <row r="106" spans="1:17" s="1" customFormat="1">
      <c r="A106" s="19"/>
      <c r="B106" s="29"/>
      <c r="C106" s="29"/>
      <c r="D106" s="19"/>
      <c r="E106" s="19"/>
      <c r="F106" s="19"/>
      <c r="G106" s="19"/>
      <c r="H106" s="19"/>
      <c r="I106" s="19" t="s">
        <v>1408</v>
      </c>
      <c r="J106" s="22">
        <v>8.9</v>
      </c>
      <c r="K106" s="22">
        <v>1.5</v>
      </c>
      <c r="L106" s="22">
        <v>72.2</v>
      </c>
      <c r="M106" s="22">
        <v>11.2</v>
      </c>
      <c r="N106" s="22">
        <f t="shared" si="5"/>
        <v>6.4257999999999997</v>
      </c>
      <c r="O106" s="22" t="s">
        <v>1826</v>
      </c>
      <c r="P106" s="19" t="s">
        <v>1442</v>
      </c>
      <c r="Q106" s="3"/>
    </row>
    <row r="107" spans="1:17" s="1" customFormat="1">
      <c r="A107" s="19"/>
      <c r="B107" s="29"/>
      <c r="C107" s="29"/>
      <c r="D107" s="19"/>
      <c r="E107" s="19"/>
      <c r="F107" s="19"/>
      <c r="G107" s="19"/>
      <c r="H107" s="19"/>
      <c r="I107" s="19" t="s">
        <v>1422</v>
      </c>
      <c r="J107" s="22" t="s">
        <v>1826</v>
      </c>
      <c r="K107" s="22" t="s">
        <v>1826</v>
      </c>
      <c r="L107" s="22" t="s">
        <v>1826</v>
      </c>
      <c r="M107" s="22" t="s">
        <v>1826</v>
      </c>
      <c r="N107" s="22" t="s">
        <v>1826</v>
      </c>
      <c r="O107" s="22" t="s">
        <v>1826</v>
      </c>
      <c r="P107" s="19" t="s">
        <v>1442</v>
      </c>
      <c r="Q107" s="3"/>
    </row>
    <row r="108" spans="1:17" s="1" customFormat="1">
      <c r="A108" s="19"/>
      <c r="B108" s="29"/>
      <c r="C108" s="29"/>
      <c r="D108" s="19"/>
      <c r="E108" s="19"/>
      <c r="F108" s="19"/>
      <c r="G108" s="19"/>
      <c r="H108" s="19"/>
      <c r="I108" s="19" t="s">
        <v>1423</v>
      </c>
      <c r="J108" s="22" t="s">
        <v>1826</v>
      </c>
      <c r="K108" s="22" t="s">
        <v>1826</v>
      </c>
      <c r="L108" s="22" t="s">
        <v>1826</v>
      </c>
      <c r="M108" s="22" t="s">
        <v>1826</v>
      </c>
      <c r="N108" s="22" t="s">
        <v>1826</v>
      </c>
      <c r="O108" s="22" t="s">
        <v>1826</v>
      </c>
      <c r="P108" s="19" t="s">
        <v>1442</v>
      </c>
      <c r="Q108" s="3"/>
    </row>
    <row r="109" spans="1:17" s="1" customFormat="1">
      <c r="A109" s="19"/>
      <c r="B109" s="29"/>
      <c r="C109" s="29"/>
      <c r="D109" s="19"/>
      <c r="E109" s="19"/>
      <c r="F109" s="19"/>
      <c r="G109" s="19"/>
      <c r="H109" s="19"/>
      <c r="I109" s="19" t="s">
        <v>1427</v>
      </c>
      <c r="J109" s="22" t="s">
        <v>1826</v>
      </c>
      <c r="K109" s="22" t="s">
        <v>1826</v>
      </c>
      <c r="L109" s="22" t="s">
        <v>1826</v>
      </c>
      <c r="M109" s="22" t="s">
        <v>1826</v>
      </c>
      <c r="N109" s="22" t="s">
        <v>1826</v>
      </c>
      <c r="O109" s="22" t="s">
        <v>1826</v>
      </c>
      <c r="P109" s="19" t="s">
        <v>1442</v>
      </c>
      <c r="Q109" s="3"/>
    </row>
    <row r="110" spans="1:17" s="1" customFormat="1">
      <c r="A110" s="19"/>
      <c r="B110" s="29"/>
      <c r="C110" s="29"/>
      <c r="D110" s="19"/>
      <c r="E110" s="19"/>
      <c r="F110" s="19"/>
      <c r="G110" s="19"/>
      <c r="H110" s="19"/>
      <c r="I110" s="19" t="s">
        <v>1184</v>
      </c>
      <c r="J110" s="22">
        <v>12.6</v>
      </c>
      <c r="K110" s="22">
        <v>1.8</v>
      </c>
      <c r="L110" s="22">
        <v>67.900000000000006</v>
      </c>
      <c r="M110" s="22">
        <v>6</v>
      </c>
      <c r="N110" s="22">
        <f>J110*(L110/100)</f>
        <v>8.5554000000000006</v>
      </c>
      <c r="O110" s="22" t="s">
        <v>1826</v>
      </c>
      <c r="P110" s="19" t="s">
        <v>1442</v>
      </c>
      <c r="Q110" s="3"/>
    </row>
    <row r="111" spans="1:17" s="1" customFormat="1">
      <c r="A111" s="19"/>
      <c r="B111" s="29"/>
      <c r="C111" s="29"/>
      <c r="D111" s="19"/>
      <c r="E111" s="19"/>
      <c r="F111" s="19"/>
      <c r="G111" s="19"/>
      <c r="H111" s="19"/>
      <c r="I111" s="19" t="s">
        <v>1420</v>
      </c>
      <c r="J111" s="22">
        <v>0.9</v>
      </c>
      <c r="K111" s="22">
        <v>0.5</v>
      </c>
      <c r="L111" s="22">
        <v>58.9</v>
      </c>
      <c r="M111" s="22">
        <v>5.5</v>
      </c>
      <c r="N111" s="22">
        <f>J111*(L111/100)</f>
        <v>0.53010000000000002</v>
      </c>
      <c r="O111" s="22" t="s">
        <v>1826</v>
      </c>
      <c r="P111" s="19" t="s">
        <v>1442</v>
      </c>
      <c r="Q111" s="3"/>
    </row>
    <row r="112" spans="1:17" s="1" customFormat="1">
      <c r="A112" s="19"/>
      <c r="B112" s="29"/>
      <c r="C112" s="29"/>
      <c r="D112" s="19"/>
      <c r="E112" s="19"/>
      <c r="F112" s="19"/>
      <c r="G112" s="19"/>
      <c r="H112" s="19"/>
      <c r="I112" s="19" t="s">
        <v>1428</v>
      </c>
      <c r="J112" s="22">
        <v>4.5999999999999996</v>
      </c>
      <c r="K112" s="22">
        <v>1.8</v>
      </c>
      <c r="L112" s="22">
        <v>49.2</v>
      </c>
      <c r="M112" s="22">
        <v>24.4</v>
      </c>
      <c r="N112" s="22">
        <f>J112*(L112/100)</f>
        <v>2.2631999999999999</v>
      </c>
      <c r="O112" s="22" t="s">
        <v>1826</v>
      </c>
      <c r="P112" s="19" t="s">
        <v>1442</v>
      </c>
      <c r="Q112" s="3"/>
    </row>
    <row r="113" spans="1:17" s="1" customFormat="1" ht="14" thickBot="1">
      <c r="A113" s="19"/>
      <c r="B113" s="29"/>
      <c r="C113" s="29"/>
      <c r="D113" s="19"/>
      <c r="E113" s="19"/>
      <c r="F113" s="19"/>
      <c r="G113" s="19"/>
      <c r="H113" s="19"/>
      <c r="I113" s="38" t="s">
        <v>1098</v>
      </c>
      <c r="J113" s="45">
        <v>29</v>
      </c>
      <c r="K113" s="45">
        <v>2.8</v>
      </c>
      <c r="L113" s="45">
        <v>75</v>
      </c>
      <c r="M113" s="45">
        <v>7.9</v>
      </c>
      <c r="N113" s="45">
        <f>J113*(L113/100)</f>
        <v>21.75</v>
      </c>
      <c r="O113" s="45" t="s">
        <v>1826</v>
      </c>
      <c r="P113" s="19" t="s">
        <v>1442</v>
      </c>
      <c r="Q113" s="3"/>
    </row>
    <row r="114" spans="1:17" s="1" customFormat="1" ht="15">
      <c r="A114" s="3"/>
      <c r="B114" s="5"/>
      <c r="C114" s="5"/>
      <c r="D114" s="3"/>
      <c r="E114" s="3"/>
      <c r="F114" s="3"/>
      <c r="G114" s="3"/>
      <c r="H114" s="3"/>
      <c r="I114" s="47" t="s">
        <v>1530</v>
      </c>
      <c r="J114" s="51">
        <f>ROUND(AVERAGE(J80,J97),1)</f>
        <v>5.3</v>
      </c>
      <c r="K114" s="51" t="s">
        <v>186</v>
      </c>
      <c r="L114" s="51">
        <f>ROUND(AVERAGE(L80,L97),1)</f>
        <v>97.2</v>
      </c>
      <c r="M114" s="51" t="s">
        <v>186</v>
      </c>
      <c r="N114" s="51">
        <f>ROUND(AVERAGE(N80,N97),1)</f>
        <v>5.0999999999999996</v>
      </c>
      <c r="O114" s="52" t="s">
        <v>186</v>
      </c>
      <c r="P114" s="3"/>
      <c r="Q114" s="3"/>
    </row>
    <row r="115" spans="1:17" s="1" customFormat="1" ht="15">
      <c r="A115" s="3"/>
      <c r="B115" s="5"/>
      <c r="C115" s="5"/>
      <c r="D115" s="3"/>
      <c r="E115" s="3"/>
      <c r="F115" s="3"/>
      <c r="G115" s="141"/>
      <c r="H115" s="3"/>
      <c r="I115" s="48" t="s">
        <v>1364</v>
      </c>
      <c r="J115" s="53" t="s">
        <v>532</v>
      </c>
      <c r="K115" s="53" t="s">
        <v>532</v>
      </c>
      <c r="L115" s="53" t="s">
        <v>435</v>
      </c>
      <c r="M115" s="53" t="s">
        <v>532</v>
      </c>
      <c r="N115" s="53" t="s">
        <v>434</v>
      </c>
      <c r="O115" s="54" t="s">
        <v>532</v>
      </c>
      <c r="P115" s="3"/>
      <c r="Q115" s="3"/>
    </row>
    <row r="116" spans="1:17" s="1" customFormat="1" ht="15">
      <c r="A116" s="3"/>
      <c r="B116" s="5"/>
      <c r="C116" s="5"/>
      <c r="D116" s="3"/>
      <c r="E116" s="3"/>
      <c r="F116" s="3"/>
      <c r="G116" s="141"/>
      <c r="H116" s="3"/>
      <c r="I116" s="48" t="s">
        <v>1374</v>
      </c>
      <c r="J116" s="53">
        <f t="shared" ref="J116:J130" si="6">ROUND(AVERAGE(J82,J99),1)</f>
        <v>0.8</v>
      </c>
      <c r="K116" s="53" t="s">
        <v>532</v>
      </c>
      <c r="L116" s="53">
        <f t="shared" ref="L116:L130" si="7">ROUND(AVERAGE(L82,L99),1)</f>
        <v>96.8</v>
      </c>
      <c r="M116" s="53" t="s">
        <v>532</v>
      </c>
      <c r="N116" s="53">
        <f t="shared" ref="N116:N130" si="8">ROUND(AVERAGE(N82,N99),1)</f>
        <v>0.8</v>
      </c>
      <c r="O116" s="54" t="s">
        <v>532</v>
      </c>
      <c r="P116" s="3"/>
      <c r="Q116" s="3"/>
    </row>
    <row r="117" spans="1:17" s="1" customFormat="1" ht="15">
      <c r="A117" s="3"/>
      <c r="B117" s="5"/>
      <c r="C117" s="5"/>
      <c r="D117" s="3"/>
      <c r="E117" s="3"/>
      <c r="F117" s="3"/>
      <c r="G117" s="141"/>
      <c r="H117" s="3"/>
      <c r="I117" s="48" t="s">
        <v>1443</v>
      </c>
      <c r="J117" s="53">
        <f t="shared" si="6"/>
        <v>12</v>
      </c>
      <c r="K117" s="53" t="s">
        <v>532</v>
      </c>
      <c r="L117" s="53">
        <f t="shared" si="7"/>
        <v>86.8</v>
      </c>
      <c r="M117" s="53" t="s">
        <v>532</v>
      </c>
      <c r="N117" s="53">
        <f t="shared" si="8"/>
        <v>10.4</v>
      </c>
      <c r="O117" s="54" t="s">
        <v>532</v>
      </c>
      <c r="P117" s="3"/>
      <c r="Q117" s="3"/>
    </row>
    <row r="118" spans="1:17" s="1" customFormat="1" ht="15">
      <c r="A118" s="3"/>
      <c r="B118" s="5"/>
      <c r="C118" s="5"/>
      <c r="D118" s="3"/>
      <c r="E118" s="3"/>
      <c r="F118" s="3"/>
      <c r="G118" s="141"/>
      <c r="H118" s="3"/>
      <c r="I118" s="48" t="s">
        <v>1444</v>
      </c>
      <c r="J118" s="53">
        <f t="shared" si="6"/>
        <v>0.1</v>
      </c>
      <c r="K118" s="53" t="s">
        <v>532</v>
      </c>
      <c r="L118" s="53">
        <f t="shared" si="7"/>
        <v>86.1</v>
      </c>
      <c r="M118" s="53" t="s">
        <v>532</v>
      </c>
      <c r="N118" s="53">
        <f t="shared" si="8"/>
        <v>0.1</v>
      </c>
      <c r="O118" s="54" t="s">
        <v>532</v>
      </c>
      <c r="P118" s="3"/>
      <c r="Q118" s="3"/>
    </row>
    <row r="119" spans="1:17" s="1" customFormat="1" ht="15">
      <c r="A119" s="3"/>
      <c r="B119" s="5"/>
      <c r="C119" s="5"/>
      <c r="D119" s="3"/>
      <c r="E119" s="3"/>
      <c r="F119" s="3"/>
      <c r="G119" s="141"/>
      <c r="H119" s="3"/>
      <c r="I119" s="48" t="s">
        <v>1445</v>
      </c>
      <c r="J119" s="53">
        <f t="shared" si="6"/>
        <v>1</v>
      </c>
      <c r="K119" s="53" t="s">
        <v>532</v>
      </c>
      <c r="L119" s="53">
        <f t="shared" si="7"/>
        <v>74</v>
      </c>
      <c r="M119" s="53" t="s">
        <v>532</v>
      </c>
      <c r="N119" s="53">
        <f t="shared" si="8"/>
        <v>0.7</v>
      </c>
      <c r="O119" s="54" t="s">
        <v>532</v>
      </c>
      <c r="P119" s="3"/>
      <c r="Q119" s="3"/>
    </row>
    <row r="120" spans="1:17" s="1" customFormat="1" ht="15">
      <c r="A120" s="3"/>
      <c r="B120" s="5"/>
      <c r="C120" s="5"/>
      <c r="D120" s="3"/>
      <c r="E120" s="3"/>
      <c r="F120" s="3"/>
      <c r="G120" s="141"/>
      <c r="H120" s="3"/>
      <c r="I120" s="48" t="s">
        <v>903</v>
      </c>
      <c r="J120" s="53">
        <f t="shared" si="6"/>
        <v>5</v>
      </c>
      <c r="K120" s="53" t="s">
        <v>532</v>
      </c>
      <c r="L120" s="53">
        <f t="shared" si="7"/>
        <v>34.200000000000003</v>
      </c>
      <c r="M120" s="53" t="s">
        <v>532</v>
      </c>
      <c r="N120" s="53">
        <f t="shared" si="8"/>
        <v>2</v>
      </c>
      <c r="O120" s="54" t="s">
        <v>532</v>
      </c>
      <c r="P120" s="3"/>
      <c r="Q120" s="3"/>
    </row>
    <row r="121" spans="1:17" s="1" customFormat="1" ht="15">
      <c r="A121" s="3"/>
      <c r="B121" s="5"/>
      <c r="C121" s="5"/>
      <c r="D121" s="3"/>
      <c r="E121" s="3"/>
      <c r="F121" s="3"/>
      <c r="G121" s="141"/>
      <c r="H121" s="3"/>
      <c r="I121" s="48" t="s">
        <v>1446</v>
      </c>
      <c r="J121" s="53">
        <f t="shared" si="6"/>
        <v>9</v>
      </c>
      <c r="K121" s="53" t="s">
        <v>532</v>
      </c>
      <c r="L121" s="53">
        <f t="shared" si="7"/>
        <v>70</v>
      </c>
      <c r="M121" s="53" t="s">
        <v>532</v>
      </c>
      <c r="N121" s="53">
        <f t="shared" si="8"/>
        <v>6.3</v>
      </c>
      <c r="O121" s="54" t="s">
        <v>532</v>
      </c>
      <c r="P121" s="3"/>
      <c r="Q121" s="3"/>
    </row>
    <row r="122" spans="1:17" s="1" customFormat="1" ht="15">
      <c r="A122" s="3"/>
      <c r="B122" s="5"/>
      <c r="C122" s="5"/>
      <c r="D122" s="3"/>
      <c r="E122" s="3"/>
      <c r="F122" s="3"/>
      <c r="G122" s="141"/>
      <c r="H122" s="3"/>
      <c r="I122" s="48" t="s">
        <v>1545</v>
      </c>
      <c r="J122" s="53">
        <f t="shared" si="6"/>
        <v>0.6</v>
      </c>
      <c r="K122" s="53" t="s">
        <v>532</v>
      </c>
      <c r="L122" s="53">
        <f t="shared" si="7"/>
        <v>100</v>
      </c>
      <c r="M122" s="53" t="s">
        <v>532</v>
      </c>
      <c r="N122" s="53">
        <f t="shared" si="8"/>
        <v>0.6</v>
      </c>
      <c r="O122" s="54" t="s">
        <v>532</v>
      </c>
      <c r="P122" s="3"/>
      <c r="Q122" s="3"/>
    </row>
    <row r="123" spans="1:17" s="1" customFormat="1" ht="15">
      <c r="A123" s="3"/>
      <c r="B123" s="5"/>
      <c r="C123" s="5"/>
      <c r="D123" s="3"/>
      <c r="E123" s="3"/>
      <c r="F123" s="3"/>
      <c r="G123" s="141"/>
      <c r="H123" s="3"/>
      <c r="I123" s="48" t="s">
        <v>1546</v>
      </c>
      <c r="J123" s="53">
        <f t="shared" si="6"/>
        <v>9.6999999999999993</v>
      </c>
      <c r="K123" s="53" t="s">
        <v>532</v>
      </c>
      <c r="L123" s="53">
        <f t="shared" si="7"/>
        <v>63.3</v>
      </c>
      <c r="M123" s="53" t="s">
        <v>532</v>
      </c>
      <c r="N123" s="53">
        <f t="shared" si="8"/>
        <v>6</v>
      </c>
      <c r="O123" s="54" t="s">
        <v>532</v>
      </c>
      <c r="P123" s="3"/>
      <c r="Q123" s="3"/>
    </row>
    <row r="124" spans="1:17" s="1" customFormat="1" ht="15">
      <c r="A124" s="3"/>
      <c r="B124" s="5"/>
      <c r="C124" s="5"/>
      <c r="D124" s="3"/>
      <c r="E124" s="3"/>
      <c r="F124" s="3"/>
      <c r="G124" s="141"/>
      <c r="H124" s="3"/>
      <c r="I124" s="48" t="s">
        <v>1343</v>
      </c>
      <c r="J124" s="53">
        <f t="shared" si="6"/>
        <v>0.6</v>
      </c>
      <c r="K124" s="53" t="s">
        <v>532</v>
      </c>
      <c r="L124" s="53">
        <f t="shared" si="7"/>
        <v>100</v>
      </c>
      <c r="M124" s="53" t="s">
        <v>532</v>
      </c>
      <c r="N124" s="53">
        <f t="shared" si="8"/>
        <v>0.6</v>
      </c>
      <c r="O124" s="54" t="s">
        <v>532</v>
      </c>
      <c r="P124" s="3"/>
      <c r="Q124" s="3"/>
    </row>
    <row r="125" spans="1:17" s="1" customFormat="1" ht="15">
      <c r="A125" s="3"/>
      <c r="B125" s="5"/>
      <c r="C125" s="5"/>
      <c r="D125" s="3"/>
      <c r="E125" s="3"/>
      <c r="F125" s="3"/>
      <c r="G125" s="141"/>
      <c r="H125" s="3"/>
      <c r="I125" s="48" t="s">
        <v>1713</v>
      </c>
      <c r="J125" s="53">
        <f t="shared" si="6"/>
        <v>0.6</v>
      </c>
      <c r="K125" s="53" t="s">
        <v>532</v>
      </c>
      <c r="L125" s="53">
        <f t="shared" si="7"/>
        <v>100</v>
      </c>
      <c r="M125" s="53" t="s">
        <v>532</v>
      </c>
      <c r="N125" s="53">
        <f t="shared" si="8"/>
        <v>0.6</v>
      </c>
      <c r="O125" s="54" t="s">
        <v>532</v>
      </c>
      <c r="P125" s="3"/>
      <c r="Q125" s="3"/>
    </row>
    <row r="126" spans="1:17" s="1" customFormat="1" ht="15">
      <c r="A126" s="3"/>
      <c r="B126" s="5"/>
      <c r="C126" s="5"/>
      <c r="D126" s="3"/>
      <c r="E126" s="3"/>
      <c r="F126" s="3"/>
      <c r="G126" s="141"/>
      <c r="H126" s="3"/>
      <c r="I126" s="48" t="s">
        <v>1714</v>
      </c>
      <c r="J126" s="53">
        <f t="shared" si="6"/>
        <v>1.2</v>
      </c>
      <c r="K126" s="53" t="s">
        <v>532</v>
      </c>
      <c r="L126" s="53">
        <f t="shared" si="7"/>
        <v>100</v>
      </c>
      <c r="M126" s="53" t="s">
        <v>532</v>
      </c>
      <c r="N126" s="53">
        <f t="shared" si="8"/>
        <v>1.2</v>
      </c>
      <c r="O126" s="54" t="s">
        <v>532</v>
      </c>
      <c r="P126" s="3"/>
      <c r="Q126" s="3"/>
    </row>
    <row r="127" spans="1:17" s="1" customFormat="1" ht="15">
      <c r="A127" s="3"/>
      <c r="B127" s="5"/>
      <c r="C127" s="5"/>
      <c r="D127" s="3"/>
      <c r="E127" s="3"/>
      <c r="F127" s="3"/>
      <c r="G127" s="141"/>
      <c r="H127" s="3"/>
      <c r="I127" s="48" t="s">
        <v>1715</v>
      </c>
      <c r="J127" s="53">
        <f t="shared" si="6"/>
        <v>16.2</v>
      </c>
      <c r="K127" s="53" t="s">
        <v>265</v>
      </c>
      <c r="L127" s="53">
        <f t="shared" si="7"/>
        <v>60.1</v>
      </c>
      <c r="M127" s="53" t="s">
        <v>265</v>
      </c>
      <c r="N127" s="53">
        <f t="shared" si="8"/>
        <v>9.5</v>
      </c>
      <c r="O127" s="54" t="s">
        <v>265</v>
      </c>
      <c r="P127" s="3"/>
      <c r="Q127" s="3"/>
    </row>
    <row r="128" spans="1:17" s="1" customFormat="1" ht="15">
      <c r="A128" s="3"/>
      <c r="B128" s="5"/>
      <c r="C128" s="5"/>
      <c r="D128" s="3"/>
      <c r="E128" s="3"/>
      <c r="F128" s="3"/>
      <c r="G128" s="141"/>
      <c r="H128" s="3"/>
      <c r="I128" s="48" t="s">
        <v>1636</v>
      </c>
      <c r="J128" s="53">
        <f t="shared" si="6"/>
        <v>0.9</v>
      </c>
      <c r="K128" s="53" t="s">
        <v>532</v>
      </c>
      <c r="L128" s="53">
        <f t="shared" si="7"/>
        <v>59</v>
      </c>
      <c r="M128" s="53" t="s">
        <v>532</v>
      </c>
      <c r="N128" s="53">
        <f t="shared" si="8"/>
        <v>0.5</v>
      </c>
      <c r="O128" s="54" t="s">
        <v>532</v>
      </c>
      <c r="P128" s="3"/>
      <c r="Q128" s="3"/>
    </row>
    <row r="129" spans="1:17" s="1" customFormat="1" ht="15">
      <c r="A129" s="3"/>
      <c r="B129" s="5"/>
      <c r="C129" s="5"/>
      <c r="D129" s="3"/>
      <c r="E129" s="3"/>
      <c r="F129" s="3"/>
      <c r="G129" s="141"/>
      <c r="H129" s="3"/>
      <c r="I129" s="48" t="s">
        <v>1535</v>
      </c>
      <c r="J129" s="53">
        <f t="shared" si="6"/>
        <v>5.7</v>
      </c>
      <c r="K129" s="53" t="s">
        <v>532</v>
      </c>
      <c r="L129" s="53">
        <f t="shared" si="7"/>
        <v>41</v>
      </c>
      <c r="M129" s="53" t="s">
        <v>532</v>
      </c>
      <c r="N129" s="53">
        <f t="shared" si="8"/>
        <v>2.2000000000000002</v>
      </c>
      <c r="O129" s="54" t="s">
        <v>532</v>
      </c>
      <c r="P129" s="3"/>
      <c r="Q129" s="3"/>
    </row>
    <row r="130" spans="1:17" s="1" customFormat="1" ht="16" thickBot="1">
      <c r="A130" s="3"/>
      <c r="B130" s="5"/>
      <c r="C130" s="5"/>
      <c r="D130" s="3"/>
      <c r="E130" s="3"/>
      <c r="F130" s="3"/>
      <c r="G130" s="141"/>
      <c r="H130" s="3"/>
      <c r="I130" s="49" t="s">
        <v>1536</v>
      </c>
      <c r="J130" s="55">
        <f t="shared" si="6"/>
        <v>34.700000000000003</v>
      </c>
      <c r="K130" s="55" t="s">
        <v>532</v>
      </c>
      <c r="L130" s="55">
        <f t="shared" si="7"/>
        <v>69.099999999999994</v>
      </c>
      <c r="M130" s="55" t="s">
        <v>532</v>
      </c>
      <c r="N130" s="55">
        <f t="shared" si="8"/>
        <v>23.6</v>
      </c>
      <c r="O130" s="56" t="s">
        <v>532</v>
      </c>
      <c r="P130" s="3"/>
      <c r="Q130" s="3"/>
    </row>
    <row r="131" spans="1:17">
      <c r="A131" s="3"/>
      <c r="B131" s="5"/>
      <c r="C131" s="5"/>
      <c r="D131" s="3"/>
      <c r="E131" s="3"/>
      <c r="F131" s="3"/>
      <c r="G131" s="3"/>
      <c r="H131" s="3"/>
      <c r="I131" s="60"/>
      <c r="J131" s="80"/>
      <c r="K131" s="80"/>
      <c r="L131" s="80"/>
      <c r="M131" s="80"/>
      <c r="N131" s="80"/>
      <c r="O131" s="80"/>
      <c r="P131" s="3"/>
      <c r="Q131" s="140"/>
    </row>
    <row r="132" spans="1:17" s="58" customFormat="1">
      <c r="A132" s="293"/>
      <c r="B132" s="297"/>
      <c r="C132" s="297"/>
      <c r="D132" s="293"/>
      <c r="E132" s="293"/>
      <c r="F132" s="293"/>
      <c r="G132" s="293"/>
      <c r="H132" s="293"/>
      <c r="I132" s="298"/>
      <c r="J132" s="299"/>
      <c r="K132" s="299"/>
      <c r="L132" s="299"/>
      <c r="M132" s="299"/>
      <c r="N132" s="299"/>
      <c r="O132" s="299"/>
      <c r="P132" s="293"/>
      <c r="Q132" s="3"/>
    </row>
    <row r="133" spans="1:17">
      <c r="A133" s="3"/>
      <c r="B133" s="5"/>
      <c r="C133" s="5"/>
      <c r="D133" s="3"/>
      <c r="E133" s="3"/>
      <c r="F133" s="3"/>
      <c r="G133" s="3"/>
      <c r="H133" s="3"/>
      <c r="I133" s="60"/>
      <c r="J133" s="80"/>
      <c r="K133" s="80"/>
      <c r="L133" s="80"/>
      <c r="M133" s="80"/>
      <c r="N133" s="80"/>
      <c r="O133" s="80"/>
      <c r="P133" s="3"/>
      <c r="Q133" s="140"/>
    </row>
    <row r="134" spans="1:17">
      <c r="A134" s="3"/>
      <c r="B134" s="5"/>
      <c r="C134" s="5"/>
      <c r="D134" s="3"/>
      <c r="E134" s="3"/>
      <c r="F134" s="3"/>
      <c r="G134" s="3"/>
      <c r="H134" s="3"/>
      <c r="I134" s="60"/>
      <c r="J134" s="80"/>
      <c r="K134" s="80"/>
      <c r="L134" s="80"/>
      <c r="M134" s="80"/>
      <c r="N134" s="80"/>
      <c r="O134" s="80"/>
      <c r="P134" s="3"/>
      <c r="Q134" s="140"/>
    </row>
    <row r="135" spans="1:17">
      <c r="A135" s="3"/>
      <c r="B135" s="5"/>
      <c r="C135" s="5"/>
      <c r="D135" s="3"/>
      <c r="E135" s="3"/>
      <c r="F135" s="3"/>
      <c r="G135" s="3"/>
      <c r="H135" s="3"/>
      <c r="I135" s="60"/>
      <c r="J135" s="80"/>
      <c r="K135" s="80"/>
      <c r="L135" s="80"/>
      <c r="M135" s="80"/>
      <c r="N135" s="80"/>
      <c r="O135" s="80"/>
      <c r="P135" s="3"/>
      <c r="Q135" s="140"/>
    </row>
    <row r="136" spans="1:17">
      <c r="A136" s="325"/>
      <c r="B136" s="331"/>
      <c r="C136" s="331"/>
      <c r="D136" s="325"/>
      <c r="E136" s="325"/>
      <c r="F136" s="325"/>
      <c r="G136" s="325"/>
      <c r="H136" s="325"/>
      <c r="I136" s="332"/>
      <c r="J136" s="333"/>
      <c r="K136" s="333"/>
      <c r="L136" s="333"/>
      <c r="M136" s="333"/>
      <c r="N136" s="333"/>
      <c r="O136" s="333"/>
      <c r="P136" s="325"/>
      <c r="Q136" s="140"/>
    </row>
    <row r="137" spans="1:17">
      <c r="A137" s="3"/>
      <c r="B137" s="5"/>
      <c r="C137" s="5"/>
      <c r="D137" s="3"/>
      <c r="E137" s="3"/>
      <c r="F137" s="3"/>
      <c r="G137" s="3"/>
      <c r="H137" s="3"/>
      <c r="I137" s="60"/>
      <c r="J137" s="80"/>
      <c r="K137" s="80"/>
      <c r="L137" s="80"/>
      <c r="M137" s="80"/>
      <c r="N137" s="80"/>
      <c r="O137" s="80"/>
      <c r="P137" s="3"/>
      <c r="Q137" s="140"/>
    </row>
    <row r="138" spans="1:17">
      <c r="A138" s="19" t="s">
        <v>1737</v>
      </c>
      <c r="B138" s="29" t="s">
        <v>1738</v>
      </c>
      <c r="C138" s="29" t="s">
        <v>1739</v>
      </c>
      <c r="D138" s="19" t="s">
        <v>1551</v>
      </c>
      <c r="E138" s="19" t="s">
        <v>1375</v>
      </c>
      <c r="F138" s="143">
        <v>38812</v>
      </c>
      <c r="G138" s="34" t="s">
        <v>1555</v>
      </c>
      <c r="H138" s="19" t="s">
        <v>554</v>
      </c>
      <c r="I138" s="19" t="s">
        <v>1717</v>
      </c>
      <c r="J138" s="22">
        <v>31.4</v>
      </c>
      <c r="K138" s="22" t="s">
        <v>1555</v>
      </c>
      <c r="L138" s="22" t="s">
        <v>1555</v>
      </c>
      <c r="M138" s="22" t="s">
        <v>1555</v>
      </c>
      <c r="N138" s="22" t="s">
        <v>1555</v>
      </c>
      <c r="O138" s="22" t="s">
        <v>1555</v>
      </c>
      <c r="P138" s="19" t="s">
        <v>1413</v>
      </c>
      <c r="Q138" s="140"/>
    </row>
    <row r="139" spans="1:17">
      <c r="A139" s="19" t="s">
        <v>1737</v>
      </c>
      <c r="B139" s="29" t="s">
        <v>1738</v>
      </c>
      <c r="C139" s="29" t="s">
        <v>1739</v>
      </c>
      <c r="D139" s="19" t="s">
        <v>1551</v>
      </c>
      <c r="E139" s="19" t="s">
        <v>1375</v>
      </c>
      <c r="F139" s="143">
        <v>38812</v>
      </c>
      <c r="G139" s="34" t="s">
        <v>1555</v>
      </c>
      <c r="H139" s="19" t="s">
        <v>554</v>
      </c>
      <c r="I139" s="19" t="s">
        <v>1717</v>
      </c>
      <c r="J139" s="22">
        <v>34.4</v>
      </c>
      <c r="K139" s="22" t="s">
        <v>1555</v>
      </c>
      <c r="L139" s="22" t="s">
        <v>1555</v>
      </c>
      <c r="M139" s="22" t="s">
        <v>1555</v>
      </c>
      <c r="N139" s="22" t="s">
        <v>1555</v>
      </c>
      <c r="O139" s="22" t="s">
        <v>1555</v>
      </c>
      <c r="P139" s="19" t="s">
        <v>1414</v>
      </c>
      <c r="Q139" s="140"/>
    </row>
    <row r="140" spans="1:17">
      <c r="A140" s="19" t="s">
        <v>1737</v>
      </c>
      <c r="B140" s="29" t="s">
        <v>1738</v>
      </c>
      <c r="C140" s="29" t="s">
        <v>1739</v>
      </c>
      <c r="D140" s="19" t="s">
        <v>1551</v>
      </c>
      <c r="E140" s="19" t="s">
        <v>1375</v>
      </c>
      <c r="F140" s="143">
        <v>38812</v>
      </c>
      <c r="G140" s="34" t="s">
        <v>1555</v>
      </c>
      <c r="H140" s="19" t="s">
        <v>554</v>
      </c>
      <c r="I140" s="19" t="s">
        <v>1717</v>
      </c>
      <c r="J140" s="22">
        <v>22</v>
      </c>
      <c r="K140" s="22" t="s">
        <v>1555</v>
      </c>
      <c r="L140" s="22" t="s">
        <v>1555</v>
      </c>
      <c r="M140" s="22" t="s">
        <v>1555</v>
      </c>
      <c r="N140" s="22" t="s">
        <v>1555</v>
      </c>
      <c r="O140" s="22" t="s">
        <v>1555</v>
      </c>
      <c r="P140" s="19" t="s">
        <v>1415</v>
      </c>
      <c r="Q140" s="140"/>
    </row>
    <row r="141" spans="1:17" ht="14" thickBot="1">
      <c r="A141" s="19" t="s">
        <v>1737</v>
      </c>
      <c r="B141" s="29" t="s">
        <v>1738</v>
      </c>
      <c r="C141" s="29" t="s">
        <v>1739</v>
      </c>
      <c r="D141" s="19" t="s">
        <v>1551</v>
      </c>
      <c r="E141" s="19" t="s">
        <v>1375</v>
      </c>
      <c r="F141" s="143">
        <v>38812</v>
      </c>
      <c r="G141" s="34" t="s">
        <v>1555</v>
      </c>
      <c r="H141" s="19" t="s">
        <v>554</v>
      </c>
      <c r="I141" s="38" t="s">
        <v>1826</v>
      </c>
      <c r="J141" s="45">
        <v>19.899999999999999</v>
      </c>
      <c r="K141" s="45" t="s">
        <v>1555</v>
      </c>
      <c r="L141" s="45" t="s">
        <v>1555</v>
      </c>
      <c r="M141" s="45" t="s">
        <v>1555</v>
      </c>
      <c r="N141" s="45" t="s">
        <v>1555</v>
      </c>
      <c r="O141" s="45" t="s">
        <v>1555</v>
      </c>
      <c r="P141" s="19" t="s">
        <v>1599</v>
      </c>
      <c r="Q141" s="140"/>
    </row>
    <row r="142" spans="1:17" ht="14" thickBot="1">
      <c r="A142" s="3"/>
      <c r="B142" s="5"/>
      <c r="C142" s="5"/>
      <c r="D142" s="3"/>
      <c r="E142" s="3"/>
      <c r="F142" s="142"/>
      <c r="G142" s="44"/>
      <c r="H142" s="3"/>
      <c r="I142" s="90" t="s">
        <v>1098</v>
      </c>
      <c r="J142" s="67">
        <f>ROUND(AVERAGE(J138:J141),1)</f>
        <v>26.9</v>
      </c>
      <c r="K142" s="67">
        <f>ROUND(STDEV(J138:J141),1)</f>
        <v>7.1</v>
      </c>
      <c r="L142" s="67" t="s">
        <v>1826</v>
      </c>
      <c r="M142" s="67" t="s">
        <v>1826</v>
      </c>
      <c r="N142" s="67" t="s">
        <v>1826</v>
      </c>
      <c r="O142" s="68" t="s">
        <v>1826</v>
      </c>
      <c r="P142" s="3"/>
      <c r="Q142" s="140"/>
    </row>
    <row r="144" spans="1:17" s="58" customFormat="1" ht="14" customHeight="1">
      <c r="A144" s="321"/>
      <c r="B144" s="321"/>
      <c r="C144" s="321"/>
      <c r="D144" s="321"/>
      <c r="E144" s="321"/>
      <c r="F144" s="321"/>
      <c r="G144" s="321"/>
      <c r="H144" s="321"/>
      <c r="I144" s="321"/>
      <c r="J144" s="321"/>
      <c r="K144" s="321"/>
      <c r="L144" s="321"/>
      <c r="M144" s="321"/>
      <c r="N144" s="321"/>
      <c r="O144" s="321"/>
      <c r="P144" s="321"/>
    </row>
    <row r="145" spans="1:16" ht="14" thickBot="1"/>
    <row r="146" spans="1:16" ht="14" thickBot="1">
      <c r="A146" s="19" t="s">
        <v>549</v>
      </c>
      <c r="B146" s="29" t="s">
        <v>550</v>
      </c>
      <c r="C146" s="29" t="s">
        <v>551</v>
      </c>
      <c r="D146" s="19" t="s">
        <v>552</v>
      </c>
      <c r="E146" s="19" t="s">
        <v>553</v>
      </c>
      <c r="F146" s="19" t="s">
        <v>273</v>
      </c>
      <c r="G146" s="34" t="s">
        <v>273</v>
      </c>
      <c r="H146" s="27" t="s">
        <v>554</v>
      </c>
      <c r="I146" s="90" t="s">
        <v>1790</v>
      </c>
      <c r="J146" s="67">
        <v>24</v>
      </c>
      <c r="K146" s="67" t="s">
        <v>273</v>
      </c>
      <c r="L146" s="67" t="s">
        <v>273</v>
      </c>
      <c r="M146" s="67" t="s">
        <v>273</v>
      </c>
      <c r="N146" s="67" t="s">
        <v>273</v>
      </c>
      <c r="O146" s="68" t="s">
        <v>273</v>
      </c>
      <c r="P146" s="30" t="s">
        <v>273</v>
      </c>
    </row>
    <row r="148" spans="1:16">
      <c r="A148" s="321"/>
      <c r="B148" s="321"/>
      <c r="C148" s="321"/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</row>
    <row r="151" spans="1:16" ht="14" thickBot="1"/>
    <row r="152" spans="1:16" ht="14" thickBot="1">
      <c r="A152" s="648" t="s">
        <v>2066</v>
      </c>
      <c r="B152" s="649"/>
      <c r="C152" s="649"/>
      <c r="D152" s="539"/>
      <c r="I152" s="352" t="s">
        <v>1998</v>
      </c>
      <c r="J152" s="353">
        <f>ROUND(AVERAGE(J16,J32,J72,J76,J130),1)</f>
        <v>73.8</v>
      </c>
      <c r="K152" s="353">
        <f>ROUND(STDEV(J16,J32,J72,J76,J130),1)</f>
        <v>33.5</v>
      </c>
      <c r="L152" s="353">
        <f>ROUND(AVERAGE(L16,L32,L72,L76,L130),1)</f>
        <v>47.4</v>
      </c>
      <c r="M152" s="353">
        <f>ROUND(STDEV(L16,L32,L72,L76,L130),1)</f>
        <v>26.8</v>
      </c>
      <c r="N152" s="353">
        <f>ROUND(AVERAGE(N16,N32,N72,N76,N130),1)</f>
        <v>28.4</v>
      </c>
      <c r="O152" s="354">
        <f>ROUND(STDEV(N16,N32,N72,N76,N130),1)</f>
        <v>9.3000000000000007</v>
      </c>
    </row>
    <row r="153" spans="1:16" ht="14" thickBot="1">
      <c r="A153" s="650" t="s">
        <v>2067</v>
      </c>
      <c r="B153" s="651"/>
      <c r="C153" s="651"/>
      <c r="D153" s="652"/>
      <c r="I153" s="369" t="s">
        <v>2</v>
      </c>
      <c r="J153" s="357">
        <f>ROUND(AVERAGE(J32,J72,J76,J16),1)</f>
        <v>83.6</v>
      </c>
      <c r="K153" s="357">
        <f>ROUND(STDEV(J32,J72,J76,J16),1)</f>
        <v>29.4</v>
      </c>
      <c r="L153" s="357">
        <f>ROUND(AVERAGE(L32,L72,L76,L16),1)</f>
        <v>42</v>
      </c>
      <c r="M153" s="357">
        <f>ROUND(STDEV(L32,L72,L76,L16),1)</f>
        <v>27.6</v>
      </c>
      <c r="N153" s="357">
        <f>ROUND(AVERAGE(N32,N72,N76,N16),1)</f>
        <v>29.6</v>
      </c>
      <c r="O153" s="358">
        <f>ROUND(STDEV(N32,N72,N76,N16),1)</f>
        <v>10.3</v>
      </c>
    </row>
    <row r="154" spans="1:16" ht="14" thickBot="1">
      <c r="I154" s="370" t="s">
        <v>3</v>
      </c>
      <c r="J154" s="360">
        <f t="shared" ref="J154:O154" si="9">J130</f>
        <v>34.700000000000003</v>
      </c>
      <c r="K154" s="360" t="str">
        <f t="shared" si="9"/>
        <v>-</v>
      </c>
      <c r="L154" s="360">
        <f t="shared" si="9"/>
        <v>69.099999999999994</v>
      </c>
      <c r="M154" s="360" t="str">
        <f t="shared" si="9"/>
        <v>-</v>
      </c>
      <c r="N154" s="360">
        <f t="shared" si="9"/>
        <v>23.6</v>
      </c>
      <c r="O154" s="361" t="str">
        <f t="shared" si="9"/>
        <v>-</v>
      </c>
    </row>
    <row r="155" spans="1:16" s="1" customFormat="1" ht="14" thickBot="1">
      <c r="I155" s="350"/>
      <c r="J155" s="351"/>
      <c r="K155" s="351"/>
      <c r="L155" s="351"/>
      <c r="M155" s="351"/>
      <c r="N155" s="351"/>
      <c r="O155" s="351"/>
    </row>
    <row r="156" spans="1:16" ht="14" thickBot="1">
      <c r="I156" s="439" t="s">
        <v>50</v>
      </c>
      <c r="J156" s="440">
        <f>ROUND(AVERAGE(J16,J32,J72,J76,J130,J142,J146),1)</f>
        <v>60</v>
      </c>
      <c r="K156" s="440">
        <f>ROUND(STDEV(J16,J32,J72,J76,J130,J142,J146),1)</f>
        <v>36.200000000000003</v>
      </c>
      <c r="L156" s="440">
        <f>ROUND(AVERAGE(L16,L32,L72,L76,L130,),1)</f>
        <v>39.5</v>
      </c>
      <c r="M156" s="440">
        <f>ROUND(STDEV(L16,L32,L72,L76,L130),1)</f>
        <v>26.8</v>
      </c>
      <c r="N156" s="440">
        <f>ROUND(AVERAGE(N16,N32,N72,N76,N130),1)</f>
        <v>28.4</v>
      </c>
      <c r="O156" s="441">
        <f>ROUND(STDEV(N16,N32,N72,N76,N130),1)</f>
        <v>9.3000000000000007</v>
      </c>
    </row>
  </sheetData>
  <mergeCells count="2">
    <mergeCell ref="A152:C152"/>
    <mergeCell ref="A153:D153"/>
  </mergeCells>
  <phoneticPr fontId="1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5"/>
  <sheetViews>
    <sheetView workbookViewId="0">
      <selection activeCell="A5" sqref="A5"/>
    </sheetView>
  </sheetViews>
  <sheetFormatPr baseColWidth="10" defaultRowHeight="13" x14ac:dyDescent="0"/>
  <cols>
    <col min="1" max="1" width="21.85546875" customWidth="1"/>
    <col min="2" max="2" width="6.140625" customWidth="1"/>
    <col min="3" max="3" width="5.85546875" customWidth="1"/>
    <col min="16" max="16" width="51.7109375" customWidth="1"/>
  </cols>
  <sheetData>
    <row r="1" spans="1:124" s="7" customFormat="1" ht="32" customHeight="1">
      <c r="A1" s="41" t="s">
        <v>807</v>
      </c>
      <c r="B1" s="41" t="s">
        <v>808</v>
      </c>
      <c r="C1" s="41" t="s">
        <v>809</v>
      </c>
      <c r="D1" s="41" t="s">
        <v>810</v>
      </c>
      <c r="E1" s="41" t="s">
        <v>1064</v>
      </c>
      <c r="F1" s="41" t="s">
        <v>1065</v>
      </c>
      <c r="G1" s="41" t="s">
        <v>937</v>
      </c>
      <c r="H1" s="41" t="s">
        <v>938</v>
      </c>
      <c r="I1" s="41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41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>
      <c r="A2" s="544" t="s">
        <v>1547</v>
      </c>
      <c r="B2" s="544" t="s">
        <v>1548</v>
      </c>
      <c r="C2" s="544" t="s">
        <v>1347</v>
      </c>
      <c r="D2" s="544" t="s">
        <v>2121</v>
      </c>
      <c r="E2" s="544" t="s">
        <v>1549</v>
      </c>
      <c r="F2" s="544" t="s">
        <v>1046</v>
      </c>
      <c r="G2" s="544" t="s">
        <v>1046</v>
      </c>
      <c r="H2" s="544" t="s">
        <v>1550</v>
      </c>
      <c r="I2" s="544" t="s">
        <v>2122</v>
      </c>
      <c r="J2" s="546">
        <v>74.489999999999995</v>
      </c>
      <c r="K2" s="546" t="s">
        <v>1046</v>
      </c>
      <c r="L2" s="546">
        <v>50</v>
      </c>
      <c r="M2" s="546" t="s">
        <v>1046</v>
      </c>
      <c r="N2" s="546">
        <v>37.244999999999997</v>
      </c>
      <c r="O2" s="546" t="s">
        <v>1046</v>
      </c>
      <c r="P2" s="544" t="s">
        <v>2123</v>
      </c>
    </row>
    <row r="3" spans="1:124">
      <c r="A3" s="544"/>
      <c r="B3" s="544"/>
      <c r="C3" s="544"/>
      <c r="D3" s="544"/>
      <c r="E3" s="544"/>
      <c r="F3" s="544"/>
      <c r="G3" s="544"/>
      <c r="H3" s="544"/>
      <c r="I3" s="544" t="s">
        <v>2124</v>
      </c>
      <c r="J3" s="546">
        <v>34.11</v>
      </c>
      <c r="K3" s="546" t="s">
        <v>1046</v>
      </c>
      <c r="L3" s="546">
        <v>50</v>
      </c>
      <c r="M3" s="546" t="s">
        <v>1046</v>
      </c>
      <c r="N3" s="546">
        <v>17.055</v>
      </c>
      <c r="O3" s="546" t="s">
        <v>1046</v>
      </c>
      <c r="P3" s="544" t="s">
        <v>2125</v>
      </c>
    </row>
    <row r="4" spans="1:124">
      <c r="A4" s="544"/>
      <c r="B4" s="544"/>
      <c r="C4" s="544"/>
      <c r="D4" s="544"/>
      <c r="E4" s="544"/>
      <c r="F4" s="544"/>
      <c r="G4" s="544"/>
      <c r="H4" s="544"/>
      <c r="I4" s="544" t="s">
        <v>2126</v>
      </c>
      <c r="J4" s="552">
        <v>109</v>
      </c>
      <c r="K4" s="552" t="s">
        <v>1046</v>
      </c>
      <c r="L4" s="552">
        <v>50</v>
      </c>
      <c r="M4" s="552" t="s">
        <v>1046</v>
      </c>
      <c r="N4" s="552">
        <v>54.5</v>
      </c>
      <c r="O4" s="546" t="s">
        <v>1046</v>
      </c>
      <c r="P4" s="544" t="s">
        <v>2127</v>
      </c>
    </row>
    <row r="5" spans="1:124">
      <c r="A5" s="544" t="s">
        <v>1547</v>
      </c>
      <c r="B5" s="544" t="s">
        <v>1548</v>
      </c>
      <c r="C5" s="544" t="s">
        <v>1347</v>
      </c>
      <c r="D5" s="544" t="s">
        <v>2121</v>
      </c>
      <c r="E5" s="544" t="s">
        <v>1549</v>
      </c>
      <c r="F5" s="544" t="s">
        <v>1046</v>
      </c>
      <c r="G5" s="544" t="s">
        <v>1046</v>
      </c>
      <c r="H5" s="544" t="s">
        <v>1550</v>
      </c>
      <c r="I5" s="544" t="s">
        <v>2122</v>
      </c>
      <c r="J5" s="546">
        <v>29.07</v>
      </c>
      <c r="K5" s="546" t="s">
        <v>1046</v>
      </c>
      <c r="L5" s="546">
        <v>77</v>
      </c>
      <c r="M5" s="546" t="s">
        <v>1046</v>
      </c>
      <c r="N5" s="546">
        <v>22.383900000000001</v>
      </c>
      <c r="O5" s="546" t="s">
        <v>1046</v>
      </c>
      <c r="P5" s="544" t="s">
        <v>2125</v>
      </c>
    </row>
    <row r="6" spans="1:124">
      <c r="A6" s="544"/>
      <c r="B6" s="544"/>
      <c r="C6" s="544"/>
      <c r="D6" s="544"/>
      <c r="E6" s="544"/>
      <c r="F6" s="544"/>
      <c r="G6" s="544"/>
      <c r="H6" s="544"/>
      <c r="I6" s="544" t="s">
        <v>2124</v>
      </c>
      <c r="J6" s="546">
        <v>10.5</v>
      </c>
      <c r="K6" s="546" t="s">
        <v>1046</v>
      </c>
      <c r="L6" s="546">
        <v>77</v>
      </c>
      <c r="M6" s="546" t="s">
        <v>1046</v>
      </c>
      <c r="N6" s="546">
        <v>8.0850000000000009</v>
      </c>
      <c r="O6" s="546" t="s">
        <v>1046</v>
      </c>
      <c r="P6" s="544" t="s">
        <v>2125</v>
      </c>
    </row>
    <row r="7" spans="1:124" ht="14" thickBot="1">
      <c r="A7" s="544"/>
      <c r="B7" s="544"/>
      <c r="C7" s="544"/>
      <c r="D7" s="544"/>
      <c r="E7" s="544"/>
      <c r="F7" s="544"/>
      <c r="G7" s="544"/>
      <c r="H7" s="544"/>
      <c r="I7" s="548" t="s">
        <v>2126</v>
      </c>
      <c r="J7" s="549">
        <v>40</v>
      </c>
      <c r="K7" s="549" t="s">
        <v>1046</v>
      </c>
      <c r="L7" s="549">
        <v>77</v>
      </c>
      <c r="M7" s="549" t="s">
        <v>1046</v>
      </c>
      <c r="N7" s="549">
        <v>30.8</v>
      </c>
      <c r="O7" s="549" t="s">
        <v>1046</v>
      </c>
      <c r="P7" s="544" t="s">
        <v>2127</v>
      </c>
    </row>
    <row r="8" spans="1:124">
      <c r="A8" s="1"/>
      <c r="B8" s="1"/>
      <c r="C8" s="1"/>
      <c r="D8" s="1"/>
      <c r="E8" s="1"/>
      <c r="F8" s="1"/>
      <c r="G8" s="1"/>
      <c r="H8" s="1"/>
      <c r="I8" s="556" t="s">
        <v>2122</v>
      </c>
      <c r="J8" s="557">
        <v>51.8</v>
      </c>
      <c r="K8" s="557" t="s">
        <v>1046</v>
      </c>
      <c r="L8" s="557">
        <v>63.5</v>
      </c>
      <c r="M8" s="557" t="s">
        <v>1046</v>
      </c>
      <c r="N8" s="557">
        <v>32.9</v>
      </c>
      <c r="O8" s="558" t="s">
        <v>1046</v>
      </c>
      <c r="P8" s="1"/>
    </row>
    <row r="9" spans="1:124">
      <c r="A9" s="1"/>
      <c r="B9" s="1"/>
      <c r="C9" s="1"/>
      <c r="D9" s="1"/>
      <c r="E9" s="1"/>
      <c r="F9" s="1"/>
      <c r="G9" s="1"/>
      <c r="H9" s="1"/>
      <c r="I9" s="559" t="s">
        <v>2124</v>
      </c>
      <c r="J9" s="547">
        <v>22.3</v>
      </c>
      <c r="K9" s="547" t="s">
        <v>1046</v>
      </c>
      <c r="L9" s="547">
        <v>63.5</v>
      </c>
      <c r="M9" s="547" t="s">
        <v>1046</v>
      </c>
      <c r="N9" s="547">
        <v>14.2</v>
      </c>
      <c r="O9" s="560" t="s">
        <v>1046</v>
      </c>
      <c r="P9" s="1"/>
    </row>
    <row r="10" spans="1:124" ht="14" thickBot="1">
      <c r="A10" s="1"/>
      <c r="B10" s="1"/>
      <c r="C10" s="1"/>
      <c r="D10" s="1"/>
      <c r="E10" s="1"/>
      <c r="F10" s="1"/>
      <c r="G10" s="1"/>
      <c r="H10" s="1"/>
      <c r="I10" s="553" t="s">
        <v>2126</v>
      </c>
      <c r="J10" s="554">
        <v>74.5</v>
      </c>
      <c r="K10" s="554" t="s">
        <v>1046</v>
      </c>
      <c r="L10" s="554">
        <v>63.5</v>
      </c>
      <c r="M10" s="554" t="s">
        <v>1046</v>
      </c>
      <c r="N10" s="554">
        <v>42.7</v>
      </c>
      <c r="O10" s="555" t="s">
        <v>1046</v>
      </c>
      <c r="P10" s="1"/>
    </row>
    <row r="12" spans="1:124" s="58" customFormat="1">
      <c r="A12" s="293"/>
      <c r="B12" s="297"/>
      <c r="C12" s="297"/>
      <c r="D12" s="293"/>
      <c r="E12" s="293"/>
      <c r="F12" s="293"/>
      <c r="G12" s="293"/>
      <c r="H12" s="293"/>
      <c r="I12" s="298"/>
      <c r="J12" s="299"/>
      <c r="K12" s="299"/>
      <c r="L12" s="299"/>
      <c r="M12" s="299"/>
      <c r="N12" s="299"/>
      <c r="O12" s="299"/>
      <c r="P12" s="293"/>
      <c r="Q12" s="3"/>
    </row>
    <row r="13" spans="1:124">
      <c r="A13" s="3"/>
      <c r="B13" s="5"/>
      <c r="C13" s="5"/>
      <c r="D13" s="3"/>
      <c r="E13" s="3"/>
      <c r="F13" s="3"/>
      <c r="G13" s="3"/>
      <c r="H13" s="3"/>
      <c r="I13" s="60"/>
      <c r="J13" s="80"/>
      <c r="K13" s="80"/>
      <c r="L13" s="80"/>
      <c r="M13" s="80"/>
      <c r="N13" s="80"/>
      <c r="O13" s="80"/>
      <c r="P13" s="3"/>
      <c r="Q13" s="140"/>
    </row>
    <row r="14" spans="1:124">
      <c r="A14" s="19" t="s">
        <v>1524</v>
      </c>
      <c r="B14" s="29" t="s">
        <v>1525</v>
      </c>
      <c r="C14" s="29" t="s">
        <v>1526</v>
      </c>
      <c r="D14" s="19" t="s">
        <v>1730</v>
      </c>
      <c r="E14" s="19">
        <v>1999</v>
      </c>
      <c r="F14" s="19">
        <v>2</v>
      </c>
      <c r="G14" s="19">
        <v>20</v>
      </c>
      <c r="H14" s="19" t="s">
        <v>936</v>
      </c>
      <c r="I14" s="19" t="s">
        <v>1397</v>
      </c>
      <c r="J14" s="22">
        <v>13</v>
      </c>
      <c r="K14" s="22" t="s">
        <v>1046</v>
      </c>
      <c r="L14" s="22">
        <v>36</v>
      </c>
      <c r="M14" s="22" t="s">
        <v>1046</v>
      </c>
      <c r="N14" s="22">
        <v>5</v>
      </c>
      <c r="O14" s="22" t="s">
        <v>1046</v>
      </c>
      <c r="P14" s="19" t="s">
        <v>1575</v>
      </c>
      <c r="Q14" s="140"/>
    </row>
    <row r="15" spans="1:124" ht="14" thickBot="1">
      <c r="A15" s="19" t="s">
        <v>1524</v>
      </c>
      <c r="B15" s="29" t="s">
        <v>1525</v>
      </c>
      <c r="C15" s="29" t="s">
        <v>1526</v>
      </c>
      <c r="D15" s="19" t="s">
        <v>1576</v>
      </c>
      <c r="E15" s="19">
        <v>1999</v>
      </c>
      <c r="F15" s="19">
        <v>2</v>
      </c>
      <c r="G15" s="19">
        <v>22</v>
      </c>
      <c r="H15" s="19" t="s">
        <v>936</v>
      </c>
      <c r="I15" s="38" t="s">
        <v>1397</v>
      </c>
      <c r="J15" s="45">
        <v>14</v>
      </c>
      <c r="K15" s="45" t="s">
        <v>1046</v>
      </c>
      <c r="L15" s="45">
        <v>24</v>
      </c>
      <c r="M15" s="45" t="s">
        <v>1046</v>
      </c>
      <c r="N15" s="45">
        <v>3</v>
      </c>
      <c r="O15" s="45" t="s">
        <v>1046</v>
      </c>
      <c r="P15" s="19" t="s">
        <v>1575</v>
      </c>
      <c r="Q15" s="140"/>
    </row>
    <row r="16" spans="1:124" ht="14" thickBot="1">
      <c r="A16" s="3"/>
      <c r="B16" s="5"/>
      <c r="C16" s="5"/>
      <c r="D16" s="3"/>
      <c r="E16" s="3"/>
      <c r="F16" s="3"/>
      <c r="G16" s="3"/>
      <c r="H16" s="3"/>
      <c r="I16" s="90" t="s">
        <v>1098</v>
      </c>
      <c r="J16" s="67">
        <v>13.5</v>
      </c>
      <c r="K16" s="67" t="s">
        <v>253</v>
      </c>
      <c r="L16" s="67">
        <v>30</v>
      </c>
      <c r="M16" s="67" t="s">
        <v>253</v>
      </c>
      <c r="N16" s="67">
        <v>4</v>
      </c>
      <c r="O16" s="68" t="s">
        <v>253</v>
      </c>
      <c r="P16" s="3"/>
      <c r="Q16" s="140"/>
    </row>
    <row r="17" spans="1:17">
      <c r="A17" s="3"/>
      <c r="B17" s="5"/>
      <c r="C17" s="5"/>
      <c r="D17" s="3"/>
      <c r="E17" s="3"/>
      <c r="F17" s="3"/>
      <c r="G17" s="3"/>
      <c r="H17" s="3"/>
      <c r="I17" s="60"/>
      <c r="J17" s="80"/>
      <c r="K17" s="80"/>
      <c r="L17" s="80"/>
      <c r="M17" s="80"/>
      <c r="N17" s="80"/>
      <c r="O17" s="80"/>
      <c r="P17" s="3"/>
      <c r="Q17" s="140"/>
    </row>
    <row r="18" spans="1:17" s="58" customFormat="1">
      <c r="A18" s="293"/>
      <c r="B18" s="297"/>
      <c r="C18" s="297"/>
      <c r="D18" s="293"/>
      <c r="E18" s="293"/>
      <c r="F18" s="293"/>
      <c r="G18" s="293"/>
      <c r="H18" s="293"/>
      <c r="I18" s="298"/>
      <c r="J18" s="299"/>
      <c r="K18" s="299"/>
      <c r="L18" s="299"/>
      <c r="M18" s="299"/>
      <c r="N18" s="299"/>
      <c r="O18" s="299"/>
      <c r="P18" s="293"/>
      <c r="Q18" s="3"/>
    </row>
    <row r="19" spans="1:17" s="58" customFormat="1">
      <c r="A19" s="3"/>
      <c r="B19" s="5"/>
      <c r="C19" s="5"/>
      <c r="D19" s="3"/>
      <c r="E19" s="3"/>
      <c r="F19" s="3"/>
      <c r="G19" s="3"/>
      <c r="H19" s="3"/>
      <c r="I19" s="60"/>
      <c r="J19" s="80"/>
      <c r="K19" s="80"/>
      <c r="L19" s="80"/>
      <c r="M19" s="80"/>
      <c r="N19" s="80"/>
      <c r="O19" s="80"/>
      <c r="P19" s="3"/>
      <c r="Q19" s="3"/>
    </row>
    <row r="20" spans="1:17" s="58" customFormat="1">
      <c r="A20" s="3"/>
      <c r="B20" s="5"/>
      <c r="C20" s="5"/>
      <c r="D20" s="3"/>
      <c r="E20" s="3"/>
      <c r="F20" s="3"/>
      <c r="G20" s="3"/>
      <c r="H20" s="3"/>
      <c r="I20" s="60"/>
      <c r="J20" s="80"/>
      <c r="K20" s="80"/>
      <c r="L20" s="80"/>
      <c r="M20" s="80"/>
      <c r="N20" s="80"/>
      <c r="O20" s="80"/>
      <c r="P20" s="3"/>
      <c r="Q20" s="3"/>
    </row>
    <row r="21" spans="1:17" s="58" customFormat="1" ht="14" thickBot="1">
      <c r="A21" s="3"/>
      <c r="B21" s="5"/>
      <c r="C21" s="5"/>
      <c r="D21" s="3"/>
      <c r="E21" s="3"/>
      <c r="F21" s="3"/>
      <c r="G21" s="3"/>
      <c r="H21" s="3"/>
      <c r="I21" s="60"/>
      <c r="J21" s="80"/>
      <c r="K21" s="80"/>
      <c r="L21" s="80"/>
      <c r="M21" s="80"/>
      <c r="N21" s="80"/>
      <c r="O21" s="80"/>
      <c r="P21" s="3"/>
      <c r="Q21" s="3"/>
    </row>
    <row r="22" spans="1:17" ht="14" thickBot="1">
      <c r="A22" s="648" t="s">
        <v>2066</v>
      </c>
      <c r="B22" s="649"/>
      <c r="C22" s="649"/>
      <c r="D22" s="539"/>
      <c r="I22" s="352" t="s">
        <v>1998</v>
      </c>
      <c r="J22" s="353">
        <f>ROUND(AVERAGE(J10,J16),1)</f>
        <v>44</v>
      </c>
      <c r="K22" s="561" t="s">
        <v>1046</v>
      </c>
      <c r="L22" s="353">
        <f t="shared" ref="L22" si="0">ROUND(AVERAGE(L10,L16),1)</f>
        <v>46.8</v>
      </c>
      <c r="M22" s="561" t="s">
        <v>1046</v>
      </c>
      <c r="N22" s="353">
        <f>ROUND(AVERAGE(N10,N16),1)</f>
        <v>23.4</v>
      </c>
      <c r="O22" s="562" t="s">
        <v>1046</v>
      </c>
    </row>
    <row r="23" spans="1:17" ht="14" thickBot="1">
      <c r="A23" s="611" t="s">
        <v>2065</v>
      </c>
      <c r="B23" s="612"/>
      <c r="C23" s="612"/>
      <c r="D23" s="542"/>
      <c r="I23" s="369" t="s">
        <v>5</v>
      </c>
      <c r="J23" s="357">
        <f>J16</f>
        <v>13.5</v>
      </c>
      <c r="K23" s="357" t="str">
        <f t="shared" ref="K23:O23" si="1">K16</f>
        <v>-</v>
      </c>
      <c r="L23" s="357">
        <f t="shared" si="1"/>
        <v>30</v>
      </c>
      <c r="M23" s="357" t="str">
        <f t="shared" si="1"/>
        <v>-</v>
      </c>
      <c r="N23" s="357">
        <f t="shared" si="1"/>
        <v>4</v>
      </c>
      <c r="O23" s="358" t="str">
        <f t="shared" si="1"/>
        <v>-</v>
      </c>
    </row>
    <row r="24" spans="1:17" ht="14" thickBot="1">
      <c r="I24" s="370" t="s">
        <v>4</v>
      </c>
      <c r="J24" s="360">
        <f>J10</f>
        <v>74.5</v>
      </c>
      <c r="K24" s="360" t="str">
        <f t="shared" ref="K24:O24" si="2">K10</f>
        <v>-</v>
      </c>
      <c r="L24" s="360">
        <f t="shared" si="2"/>
        <v>63.5</v>
      </c>
      <c r="M24" s="360" t="str">
        <f t="shared" si="2"/>
        <v>-</v>
      </c>
      <c r="N24" s="360">
        <f t="shared" si="2"/>
        <v>42.7</v>
      </c>
      <c r="O24" s="361" t="str">
        <f t="shared" si="2"/>
        <v>-</v>
      </c>
    </row>
    <row r="25" spans="1:17" s="1" customFormat="1">
      <c r="I25" s="350"/>
      <c r="J25" s="351"/>
      <c r="K25" s="351"/>
      <c r="L25" s="351"/>
      <c r="M25" s="351"/>
      <c r="N25" s="351"/>
      <c r="O25" s="351"/>
    </row>
  </sheetData>
  <mergeCells count="1">
    <mergeCell ref="A22:C2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76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51" sqref="A51:XFD51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5" s="7" customFormat="1" ht="32" customHeight="1" thickBo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2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14" thickBot="1">
      <c r="A2" s="19" t="s">
        <v>625</v>
      </c>
      <c r="B2" s="29" t="s">
        <v>1143</v>
      </c>
      <c r="C2" s="29" t="s">
        <v>1144</v>
      </c>
      <c r="D2" s="19" t="s">
        <v>626</v>
      </c>
      <c r="E2" s="19">
        <v>1989</v>
      </c>
      <c r="F2" s="19" t="s">
        <v>734</v>
      </c>
      <c r="G2" s="19" t="s">
        <v>734</v>
      </c>
      <c r="H2" s="27" t="s">
        <v>718</v>
      </c>
      <c r="I2" s="90" t="s">
        <v>824</v>
      </c>
      <c r="J2" s="11">
        <v>1.43</v>
      </c>
      <c r="K2" s="11" t="s">
        <v>868</v>
      </c>
      <c r="L2" s="11">
        <v>80</v>
      </c>
      <c r="M2" s="11" t="s">
        <v>868</v>
      </c>
      <c r="N2" s="11">
        <v>1.1399999999999999</v>
      </c>
      <c r="O2" s="12" t="s">
        <v>868</v>
      </c>
      <c r="P2" s="30" t="s">
        <v>745</v>
      </c>
    </row>
    <row r="3" spans="1:125">
      <c r="A3" s="26"/>
      <c r="B3" s="26"/>
      <c r="C3" s="26"/>
      <c r="D3" s="26"/>
      <c r="E3" s="26"/>
      <c r="F3" s="26"/>
      <c r="G3" s="26"/>
      <c r="H3" s="26"/>
    </row>
    <row r="4" spans="1:125">
      <c r="A4" s="291"/>
      <c r="B4" s="291"/>
      <c r="C4" s="291"/>
      <c r="D4" s="291"/>
      <c r="E4" s="291"/>
      <c r="F4" s="291"/>
      <c r="G4" s="291"/>
      <c r="H4" s="291"/>
      <c r="I4" s="296"/>
      <c r="J4" s="301"/>
      <c r="K4" s="301"/>
      <c r="L4" s="301"/>
      <c r="M4" s="301"/>
      <c r="N4" s="301"/>
      <c r="O4" s="301"/>
      <c r="P4" s="296"/>
    </row>
    <row r="5" spans="1:125" ht="14" thickBot="1">
      <c r="A5" s="26"/>
      <c r="B5" s="26"/>
      <c r="C5" s="26"/>
      <c r="D5" s="26"/>
      <c r="E5" s="26"/>
      <c r="F5" s="26"/>
      <c r="G5" s="26"/>
      <c r="H5" s="26"/>
    </row>
    <row r="6" spans="1:125" ht="14" thickBot="1">
      <c r="A6" s="21" t="s">
        <v>1011</v>
      </c>
      <c r="B6" s="21" t="s">
        <v>871</v>
      </c>
      <c r="C6" s="21" t="s">
        <v>872</v>
      </c>
      <c r="D6" s="19" t="s">
        <v>894</v>
      </c>
      <c r="E6" s="21" t="s">
        <v>792</v>
      </c>
      <c r="F6" s="19" t="s">
        <v>868</v>
      </c>
      <c r="G6" s="19" t="s">
        <v>868</v>
      </c>
      <c r="H6" s="27" t="s">
        <v>907</v>
      </c>
      <c r="I6" s="90" t="s">
        <v>825</v>
      </c>
      <c r="J6" s="11" t="s">
        <v>868</v>
      </c>
      <c r="K6" s="11" t="s">
        <v>868</v>
      </c>
      <c r="L6" s="11" t="s">
        <v>868</v>
      </c>
      <c r="M6" s="11" t="s">
        <v>868</v>
      </c>
      <c r="N6" s="11">
        <v>20</v>
      </c>
      <c r="O6" s="12" t="s">
        <v>868</v>
      </c>
      <c r="P6" s="30" t="s">
        <v>868</v>
      </c>
    </row>
    <row r="8" spans="1:125">
      <c r="A8" s="296"/>
      <c r="B8" s="296"/>
      <c r="C8" s="296"/>
      <c r="D8" s="296"/>
      <c r="E8" s="296"/>
      <c r="F8" s="296"/>
      <c r="G8" s="296"/>
      <c r="H8" s="296"/>
      <c r="I8" s="296"/>
      <c r="J8" s="301"/>
      <c r="K8" s="301"/>
      <c r="L8" s="301"/>
      <c r="M8" s="301"/>
      <c r="N8" s="301"/>
      <c r="O8" s="301"/>
      <c r="P8" s="296"/>
    </row>
    <row r="10" spans="1:125">
      <c r="A10" s="19" t="s">
        <v>799</v>
      </c>
      <c r="B10" s="29" t="s">
        <v>800</v>
      </c>
      <c r="C10" s="29" t="s">
        <v>801</v>
      </c>
      <c r="D10" s="19" t="s">
        <v>920</v>
      </c>
      <c r="E10" s="19">
        <v>2001</v>
      </c>
      <c r="F10" s="19" t="s">
        <v>1046</v>
      </c>
      <c r="G10" s="19" t="s">
        <v>1046</v>
      </c>
      <c r="H10" s="19" t="s">
        <v>701</v>
      </c>
      <c r="I10" s="19" t="s">
        <v>665</v>
      </c>
      <c r="J10" s="83">
        <v>7.3</v>
      </c>
      <c r="K10" s="83" t="s">
        <v>1046</v>
      </c>
      <c r="L10" s="83">
        <v>40</v>
      </c>
      <c r="M10" s="83" t="s">
        <v>1046</v>
      </c>
      <c r="N10" s="83">
        <v>2.9</v>
      </c>
      <c r="O10" s="9" t="s">
        <v>1046</v>
      </c>
      <c r="P10" s="19" t="s">
        <v>869</v>
      </c>
    </row>
    <row r="11" spans="1:125">
      <c r="A11" s="19" t="s">
        <v>799</v>
      </c>
      <c r="B11" s="29" t="s">
        <v>800</v>
      </c>
      <c r="C11" s="29" t="s">
        <v>801</v>
      </c>
      <c r="D11" s="19" t="s">
        <v>920</v>
      </c>
      <c r="E11" s="19">
        <v>2002</v>
      </c>
      <c r="F11" s="19" t="s">
        <v>1046</v>
      </c>
      <c r="G11" s="19" t="s">
        <v>1046</v>
      </c>
      <c r="H11" s="19" t="s">
        <v>701</v>
      </c>
      <c r="I11" s="19" t="s">
        <v>582</v>
      </c>
      <c r="J11" s="83">
        <v>7.1</v>
      </c>
      <c r="K11" s="83" t="s">
        <v>1046</v>
      </c>
      <c r="L11" s="83">
        <v>38</v>
      </c>
      <c r="M11" s="83" t="s">
        <v>1046</v>
      </c>
      <c r="N11" s="83">
        <v>2.7</v>
      </c>
      <c r="O11" s="9" t="s">
        <v>1046</v>
      </c>
      <c r="P11" s="19" t="s">
        <v>869</v>
      </c>
    </row>
    <row r="12" spans="1:125">
      <c r="A12" s="19" t="s">
        <v>799</v>
      </c>
      <c r="B12" s="29" t="s">
        <v>800</v>
      </c>
      <c r="C12" s="29" t="s">
        <v>801</v>
      </c>
      <c r="D12" s="19" t="s">
        <v>920</v>
      </c>
      <c r="E12" s="19">
        <v>2003</v>
      </c>
      <c r="F12" s="19" t="s">
        <v>1046</v>
      </c>
      <c r="G12" s="19" t="s">
        <v>1046</v>
      </c>
      <c r="H12" s="19" t="s">
        <v>701</v>
      </c>
      <c r="I12" s="19" t="s">
        <v>795</v>
      </c>
      <c r="J12" s="83">
        <v>4.5999999999999996</v>
      </c>
      <c r="K12" s="83" t="s">
        <v>1046</v>
      </c>
      <c r="L12" s="83">
        <v>47</v>
      </c>
      <c r="M12" s="83" t="s">
        <v>1046</v>
      </c>
      <c r="N12" s="83">
        <v>2.2000000000000002</v>
      </c>
      <c r="O12" s="9" t="s">
        <v>1046</v>
      </c>
      <c r="P12" s="19" t="s">
        <v>868</v>
      </c>
    </row>
    <row r="13" spans="1:125">
      <c r="A13" s="19" t="s">
        <v>799</v>
      </c>
      <c r="B13" s="29" t="s">
        <v>800</v>
      </c>
      <c r="C13" s="29" t="s">
        <v>801</v>
      </c>
      <c r="D13" s="19" t="s">
        <v>920</v>
      </c>
      <c r="E13" s="19">
        <v>2004</v>
      </c>
      <c r="F13" s="19" t="s">
        <v>1046</v>
      </c>
      <c r="G13" s="19" t="s">
        <v>1046</v>
      </c>
      <c r="H13" s="19" t="s">
        <v>701</v>
      </c>
      <c r="I13" s="19" t="s">
        <v>674</v>
      </c>
      <c r="J13" s="83">
        <v>7.7</v>
      </c>
      <c r="K13" s="83" t="s">
        <v>1046</v>
      </c>
      <c r="L13" s="83">
        <v>44</v>
      </c>
      <c r="M13" s="83" t="s">
        <v>1046</v>
      </c>
      <c r="N13" s="83">
        <v>3.4</v>
      </c>
      <c r="O13" s="9" t="s">
        <v>1046</v>
      </c>
      <c r="P13" s="19" t="s">
        <v>555</v>
      </c>
    </row>
    <row r="14" spans="1:125" ht="14" thickBot="1">
      <c r="A14" s="19" t="s">
        <v>799</v>
      </c>
      <c r="B14" s="29" t="s">
        <v>800</v>
      </c>
      <c r="C14" s="29" t="s">
        <v>801</v>
      </c>
      <c r="D14" s="19" t="s">
        <v>920</v>
      </c>
      <c r="E14" s="19">
        <v>2005</v>
      </c>
      <c r="F14" s="19" t="s">
        <v>1046</v>
      </c>
      <c r="G14" s="19" t="s">
        <v>1046</v>
      </c>
      <c r="H14" s="19" t="s">
        <v>701</v>
      </c>
      <c r="I14" s="38" t="s">
        <v>742</v>
      </c>
      <c r="J14" s="84">
        <v>6.9</v>
      </c>
      <c r="K14" s="84" t="s">
        <v>1046</v>
      </c>
      <c r="L14" s="84">
        <v>49</v>
      </c>
      <c r="M14" s="84" t="s">
        <v>1046</v>
      </c>
      <c r="N14" s="84">
        <v>3.4</v>
      </c>
      <c r="O14" s="23" t="s">
        <v>1046</v>
      </c>
      <c r="P14" s="19" t="s">
        <v>555</v>
      </c>
    </row>
    <row r="15" spans="1:125" ht="14" thickBot="1">
      <c r="A15" s="3"/>
      <c r="B15" s="5"/>
      <c r="C15" s="5"/>
      <c r="D15" s="3"/>
      <c r="E15" s="3"/>
      <c r="F15" s="3"/>
      <c r="G15" s="3"/>
      <c r="H15" s="3"/>
      <c r="I15" s="39" t="s">
        <v>1747</v>
      </c>
      <c r="J15" s="11">
        <f>ROUND(AVERAGE(J10:J14),1)</f>
        <v>6.7</v>
      </c>
      <c r="K15" s="11">
        <f>ROUND(STDEV(J10:J14),1)</f>
        <v>1.2</v>
      </c>
      <c r="L15" s="11">
        <f>ROUND(AVERAGE(L10:L14),1)</f>
        <v>43.6</v>
      </c>
      <c r="M15" s="11">
        <f>ROUND(STDEV(L10:L14),1)</f>
        <v>4.5999999999999996</v>
      </c>
      <c r="N15" s="11">
        <f>ROUND(AVERAGE(N10:N14),1)</f>
        <v>2.9</v>
      </c>
      <c r="O15" s="12">
        <f>ROUND(STDEV(N10:N14),1)</f>
        <v>0.5</v>
      </c>
    </row>
    <row r="17" spans="1:16">
      <c r="A17" s="296"/>
      <c r="B17" s="296"/>
      <c r="C17" s="296"/>
      <c r="D17" s="296"/>
      <c r="E17" s="296"/>
      <c r="F17" s="296"/>
      <c r="G17" s="296"/>
      <c r="H17" s="296"/>
      <c r="I17" s="296"/>
      <c r="J17" s="301"/>
      <c r="K17" s="301"/>
      <c r="L17" s="301"/>
      <c r="M17" s="301"/>
      <c r="N17" s="301"/>
      <c r="O17" s="301"/>
      <c r="P17" s="296"/>
    </row>
    <row r="18" spans="1:16" ht="14" thickBot="1"/>
    <row r="19" spans="1:16">
      <c r="A19" s="21" t="s">
        <v>225</v>
      </c>
      <c r="B19" s="335" t="s">
        <v>2007</v>
      </c>
      <c r="C19" s="21" t="s">
        <v>2008</v>
      </c>
      <c r="D19" s="21" t="s">
        <v>1951</v>
      </c>
      <c r="E19" s="19">
        <v>2010</v>
      </c>
      <c r="F19" s="336" t="s">
        <v>1953</v>
      </c>
      <c r="G19" s="21" t="s">
        <v>1952</v>
      </c>
      <c r="H19" s="340" t="s">
        <v>1951</v>
      </c>
      <c r="I19" s="341" t="s">
        <v>675</v>
      </c>
      <c r="J19" s="287">
        <v>0.5</v>
      </c>
      <c r="K19" s="287" t="s">
        <v>1952</v>
      </c>
      <c r="L19" s="287">
        <v>88</v>
      </c>
      <c r="M19" s="427" t="s">
        <v>1952</v>
      </c>
      <c r="N19" s="287">
        <f>ROUND((J19*(L19/100)),2)</f>
        <v>0.44</v>
      </c>
      <c r="O19" s="431" t="s">
        <v>1952</v>
      </c>
      <c r="P19" s="19" t="s">
        <v>273</v>
      </c>
    </row>
    <row r="20" spans="1:16">
      <c r="A20" s="21" t="s">
        <v>225</v>
      </c>
      <c r="B20" s="335" t="s">
        <v>2007</v>
      </c>
      <c r="C20" s="21" t="s">
        <v>2008</v>
      </c>
      <c r="D20" s="21" t="s">
        <v>1951</v>
      </c>
      <c r="E20" s="19">
        <v>2010</v>
      </c>
      <c r="F20" s="336" t="s">
        <v>2005</v>
      </c>
      <c r="G20" s="21" t="s">
        <v>1952</v>
      </c>
      <c r="H20" s="340" t="s">
        <v>1951</v>
      </c>
      <c r="I20" s="342" t="s">
        <v>1748</v>
      </c>
      <c r="J20" s="22">
        <v>1.1200000000000001</v>
      </c>
      <c r="K20" s="22" t="s">
        <v>1952</v>
      </c>
      <c r="L20" s="22">
        <v>88</v>
      </c>
      <c r="M20" s="428" t="s">
        <v>1952</v>
      </c>
      <c r="N20" s="22">
        <f t="shared" ref="N20:N31" si="0">ROUND((J20*(L20/100)),2)</f>
        <v>0.99</v>
      </c>
      <c r="O20" s="432" t="s">
        <v>1952</v>
      </c>
      <c r="P20" s="19" t="s">
        <v>273</v>
      </c>
    </row>
    <row r="21" spans="1:16">
      <c r="A21" s="21" t="s">
        <v>225</v>
      </c>
      <c r="B21" s="335" t="s">
        <v>2007</v>
      </c>
      <c r="C21" s="21" t="s">
        <v>2008</v>
      </c>
      <c r="D21" s="21" t="s">
        <v>1951</v>
      </c>
      <c r="E21" s="19">
        <v>2010</v>
      </c>
      <c r="F21" s="336" t="s">
        <v>2005</v>
      </c>
      <c r="G21" s="21" t="s">
        <v>1952</v>
      </c>
      <c r="H21" s="340" t="s">
        <v>1951</v>
      </c>
      <c r="I21" s="343" t="s">
        <v>1749</v>
      </c>
      <c r="J21" s="22">
        <v>1.54</v>
      </c>
      <c r="K21" s="22" t="s">
        <v>1952</v>
      </c>
      <c r="L21" s="22">
        <v>88</v>
      </c>
      <c r="M21" s="428" t="s">
        <v>1952</v>
      </c>
      <c r="N21" s="22">
        <f t="shared" si="0"/>
        <v>1.36</v>
      </c>
      <c r="O21" s="432" t="s">
        <v>1952</v>
      </c>
      <c r="P21" s="19" t="s">
        <v>273</v>
      </c>
    </row>
    <row r="22" spans="1:16">
      <c r="A22" s="21" t="s">
        <v>225</v>
      </c>
      <c r="B22" s="335" t="s">
        <v>2007</v>
      </c>
      <c r="C22" s="21" t="s">
        <v>2008</v>
      </c>
      <c r="D22" s="21" t="s">
        <v>1951</v>
      </c>
      <c r="E22" s="19">
        <v>2010</v>
      </c>
      <c r="F22" s="336" t="s">
        <v>1954</v>
      </c>
      <c r="G22" s="21" t="s">
        <v>1952</v>
      </c>
      <c r="H22" s="340" t="s">
        <v>1951</v>
      </c>
      <c r="I22" s="343" t="s">
        <v>1750</v>
      </c>
      <c r="J22" s="22">
        <v>2.36</v>
      </c>
      <c r="K22" s="22" t="s">
        <v>1952</v>
      </c>
      <c r="L22" s="22">
        <v>88</v>
      </c>
      <c r="M22" s="428" t="s">
        <v>1952</v>
      </c>
      <c r="N22" s="22">
        <f t="shared" si="0"/>
        <v>2.08</v>
      </c>
      <c r="O22" s="432" t="s">
        <v>1952</v>
      </c>
      <c r="P22" s="19" t="s">
        <v>273</v>
      </c>
    </row>
    <row r="23" spans="1:16">
      <c r="A23" s="21" t="s">
        <v>225</v>
      </c>
      <c r="B23" s="335" t="s">
        <v>2007</v>
      </c>
      <c r="C23" s="21" t="s">
        <v>2008</v>
      </c>
      <c r="D23" s="21" t="s">
        <v>1951</v>
      </c>
      <c r="E23" s="19">
        <v>2010</v>
      </c>
      <c r="F23" s="336" t="s">
        <v>1955</v>
      </c>
      <c r="G23" s="21" t="s">
        <v>1952</v>
      </c>
      <c r="H23" s="340" t="s">
        <v>1951</v>
      </c>
      <c r="I23" s="343" t="s">
        <v>1751</v>
      </c>
      <c r="J23" s="22">
        <v>0.21</v>
      </c>
      <c r="K23" s="22" t="s">
        <v>1952</v>
      </c>
      <c r="L23" s="22">
        <v>88</v>
      </c>
      <c r="M23" s="428" t="s">
        <v>1952</v>
      </c>
      <c r="N23" s="22">
        <f t="shared" si="0"/>
        <v>0.18</v>
      </c>
      <c r="O23" s="432" t="s">
        <v>1952</v>
      </c>
      <c r="P23" s="19" t="s">
        <v>273</v>
      </c>
    </row>
    <row r="24" spans="1:16">
      <c r="A24" s="21" t="s">
        <v>225</v>
      </c>
      <c r="B24" s="335" t="s">
        <v>2007</v>
      </c>
      <c r="C24" s="21" t="s">
        <v>2008</v>
      </c>
      <c r="D24" s="21" t="s">
        <v>1951</v>
      </c>
      <c r="E24" s="19">
        <v>2010</v>
      </c>
      <c r="F24" s="336" t="s">
        <v>2004</v>
      </c>
      <c r="G24" s="21" t="s">
        <v>1952</v>
      </c>
      <c r="H24" s="340" t="s">
        <v>1951</v>
      </c>
      <c r="I24" s="343" t="s">
        <v>1068</v>
      </c>
      <c r="J24" s="22">
        <v>10.039999999999999</v>
      </c>
      <c r="K24" s="22" t="s">
        <v>1952</v>
      </c>
      <c r="L24" s="22">
        <v>88</v>
      </c>
      <c r="M24" s="428" t="s">
        <v>1952</v>
      </c>
      <c r="N24" s="22">
        <f t="shared" si="0"/>
        <v>8.84</v>
      </c>
      <c r="O24" s="432" t="s">
        <v>1952</v>
      </c>
      <c r="P24" s="19" t="s">
        <v>273</v>
      </c>
    </row>
    <row r="25" spans="1:16">
      <c r="A25" s="21" t="s">
        <v>225</v>
      </c>
      <c r="B25" s="335" t="s">
        <v>2007</v>
      </c>
      <c r="C25" s="21" t="s">
        <v>2008</v>
      </c>
      <c r="D25" s="21" t="s">
        <v>1951</v>
      </c>
      <c r="E25" s="19">
        <v>2010</v>
      </c>
      <c r="F25" s="336" t="s">
        <v>1955</v>
      </c>
      <c r="G25" s="21" t="s">
        <v>1952</v>
      </c>
      <c r="H25" s="340" t="s">
        <v>1951</v>
      </c>
      <c r="I25" s="343" t="s">
        <v>1752</v>
      </c>
      <c r="J25" s="22">
        <v>0.24</v>
      </c>
      <c r="K25" s="22" t="s">
        <v>1952</v>
      </c>
      <c r="L25" s="22">
        <v>88</v>
      </c>
      <c r="M25" s="428" t="s">
        <v>1952</v>
      </c>
      <c r="N25" s="22">
        <f t="shared" si="0"/>
        <v>0.21</v>
      </c>
      <c r="O25" s="432" t="s">
        <v>1952</v>
      </c>
      <c r="P25" s="19" t="s">
        <v>273</v>
      </c>
    </row>
    <row r="26" spans="1:16">
      <c r="A26" s="21" t="s">
        <v>225</v>
      </c>
      <c r="B26" s="335" t="s">
        <v>2007</v>
      </c>
      <c r="C26" s="21" t="s">
        <v>2008</v>
      </c>
      <c r="D26" s="21" t="s">
        <v>1951</v>
      </c>
      <c r="E26" s="19">
        <v>2010</v>
      </c>
      <c r="F26" s="336" t="s">
        <v>1955</v>
      </c>
      <c r="G26" s="21" t="s">
        <v>1952</v>
      </c>
      <c r="H26" s="340" t="s">
        <v>1951</v>
      </c>
      <c r="I26" s="343" t="s">
        <v>538</v>
      </c>
      <c r="J26" s="22">
        <v>0.5</v>
      </c>
      <c r="K26" s="22" t="s">
        <v>1952</v>
      </c>
      <c r="L26" s="22">
        <v>88</v>
      </c>
      <c r="M26" s="428" t="s">
        <v>1952</v>
      </c>
      <c r="N26" s="22">
        <f t="shared" si="0"/>
        <v>0.44</v>
      </c>
      <c r="O26" s="432" t="s">
        <v>1952</v>
      </c>
      <c r="P26" s="19" t="s">
        <v>273</v>
      </c>
    </row>
    <row r="27" spans="1:16">
      <c r="A27" s="21" t="s">
        <v>225</v>
      </c>
      <c r="B27" s="335" t="s">
        <v>2007</v>
      </c>
      <c r="C27" s="21" t="s">
        <v>2008</v>
      </c>
      <c r="D27" s="21" t="s">
        <v>1951</v>
      </c>
      <c r="E27" s="19">
        <v>2010</v>
      </c>
      <c r="F27" s="336" t="s">
        <v>1955</v>
      </c>
      <c r="G27" s="21" t="s">
        <v>1952</v>
      </c>
      <c r="H27" s="340" t="s">
        <v>1951</v>
      </c>
      <c r="I27" s="342" t="s">
        <v>1857</v>
      </c>
      <c r="J27" s="22">
        <v>0.52</v>
      </c>
      <c r="K27" s="22" t="s">
        <v>1952</v>
      </c>
      <c r="L27" s="22">
        <v>88</v>
      </c>
      <c r="M27" s="428" t="s">
        <v>1952</v>
      </c>
      <c r="N27" s="22">
        <f t="shared" si="0"/>
        <v>0.46</v>
      </c>
      <c r="O27" s="432" t="s">
        <v>1952</v>
      </c>
      <c r="P27" s="19" t="s">
        <v>273</v>
      </c>
    </row>
    <row r="28" spans="1:16">
      <c r="A28" s="21" t="s">
        <v>225</v>
      </c>
      <c r="B28" s="335" t="s">
        <v>2007</v>
      </c>
      <c r="C28" s="21" t="s">
        <v>2008</v>
      </c>
      <c r="D28" s="21" t="s">
        <v>1951</v>
      </c>
      <c r="E28" s="19">
        <v>2010</v>
      </c>
      <c r="F28" s="336" t="s">
        <v>2003</v>
      </c>
      <c r="G28" s="21" t="s">
        <v>1952</v>
      </c>
      <c r="H28" s="340" t="s">
        <v>1951</v>
      </c>
      <c r="I28" s="343" t="s">
        <v>1858</v>
      </c>
      <c r="J28" s="22">
        <v>9.08</v>
      </c>
      <c r="K28" s="22" t="s">
        <v>1952</v>
      </c>
      <c r="L28" s="22">
        <v>88</v>
      </c>
      <c r="M28" s="428" t="s">
        <v>1952</v>
      </c>
      <c r="N28" s="22">
        <f t="shared" si="0"/>
        <v>7.99</v>
      </c>
      <c r="O28" s="432" t="s">
        <v>1952</v>
      </c>
      <c r="P28" s="19" t="s">
        <v>273</v>
      </c>
    </row>
    <row r="29" spans="1:16">
      <c r="A29" s="21" t="s">
        <v>225</v>
      </c>
      <c r="B29" s="335" t="s">
        <v>2007</v>
      </c>
      <c r="C29" s="21" t="s">
        <v>2008</v>
      </c>
      <c r="D29" s="21" t="s">
        <v>1951</v>
      </c>
      <c r="E29" s="19">
        <v>2010</v>
      </c>
      <c r="F29" s="336" t="s">
        <v>1955</v>
      </c>
      <c r="G29" s="21" t="s">
        <v>1952</v>
      </c>
      <c r="H29" s="340" t="s">
        <v>1951</v>
      </c>
      <c r="I29" s="342" t="s">
        <v>1069</v>
      </c>
      <c r="J29" s="22">
        <v>0.36</v>
      </c>
      <c r="K29" s="22" t="s">
        <v>1952</v>
      </c>
      <c r="L29" s="22">
        <v>68</v>
      </c>
      <c r="M29" s="428" t="s">
        <v>1952</v>
      </c>
      <c r="N29" s="22">
        <f t="shared" si="0"/>
        <v>0.24</v>
      </c>
      <c r="O29" s="432" t="s">
        <v>1952</v>
      </c>
      <c r="P29" s="19" t="s">
        <v>273</v>
      </c>
    </row>
    <row r="30" spans="1:16" ht="14" thickBot="1">
      <c r="A30" s="21" t="s">
        <v>225</v>
      </c>
      <c r="B30" s="21" t="s">
        <v>2010</v>
      </c>
      <c r="C30" s="21" t="s">
        <v>2009</v>
      </c>
      <c r="D30" s="21" t="s">
        <v>1951</v>
      </c>
      <c r="E30" s="19">
        <v>2004</v>
      </c>
      <c r="F30" s="337" t="s">
        <v>1954</v>
      </c>
      <c r="G30" s="21" t="s">
        <v>1952</v>
      </c>
      <c r="H30" s="340" t="s">
        <v>1951</v>
      </c>
      <c r="I30" s="344" t="s">
        <v>1829</v>
      </c>
      <c r="J30" s="288">
        <v>11.88</v>
      </c>
      <c r="K30" s="288" t="s">
        <v>1952</v>
      </c>
      <c r="L30" s="288">
        <v>88</v>
      </c>
      <c r="M30" s="429" t="s">
        <v>1952</v>
      </c>
      <c r="N30" s="288">
        <f t="shared" si="0"/>
        <v>10.45</v>
      </c>
      <c r="O30" s="433" t="s">
        <v>1952</v>
      </c>
      <c r="P30" s="19" t="s">
        <v>273</v>
      </c>
    </row>
    <row r="31" spans="1:16" ht="14" thickBot="1">
      <c r="F31" s="334"/>
      <c r="I31" s="338" t="s">
        <v>2006</v>
      </c>
      <c r="J31" s="339">
        <f>ROUND(AVERAGE(J19:J29),1)</f>
        <v>2.4</v>
      </c>
      <c r="K31" s="339">
        <f>ROUND(STDEV(J19:J29),1)</f>
        <v>3.6</v>
      </c>
      <c r="L31" s="339">
        <f>ROUND(AVERAGE(L19:L29),1)</f>
        <v>86.2</v>
      </c>
      <c r="M31" s="430">
        <f>ROUND(STDEV(L19:L29),1)</f>
        <v>6</v>
      </c>
      <c r="N31" s="435">
        <f t="shared" si="0"/>
        <v>2.0699999999999998</v>
      </c>
      <c r="O31" s="434">
        <f>ROUND(STDEV(N19:N29),1)</f>
        <v>3.2</v>
      </c>
    </row>
    <row r="33" spans="1:16">
      <c r="A33" s="296"/>
      <c r="B33" s="296"/>
      <c r="C33" s="296"/>
      <c r="D33" s="296"/>
      <c r="E33" s="296"/>
      <c r="F33" s="296"/>
      <c r="G33" s="296"/>
      <c r="H33" s="296"/>
      <c r="I33" s="296"/>
      <c r="J33" s="301"/>
      <c r="K33" s="301"/>
      <c r="L33" s="301"/>
      <c r="M33" s="301"/>
      <c r="N33" s="301"/>
      <c r="O33" s="301"/>
      <c r="P33" s="296"/>
    </row>
    <row r="37" spans="1:16" s="58" customFormat="1">
      <c r="A37" s="321"/>
      <c r="B37" s="321"/>
      <c r="C37" s="321"/>
      <c r="D37" s="321"/>
      <c r="E37" s="321"/>
      <c r="F37" s="321"/>
      <c r="G37" s="321"/>
      <c r="H37" s="321"/>
      <c r="I37" s="321"/>
      <c r="J37" s="317"/>
      <c r="K37" s="317"/>
      <c r="L37" s="317"/>
      <c r="M37" s="317"/>
      <c r="N37" s="317"/>
      <c r="O37" s="317"/>
      <c r="P37" s="321"/>
    </row>
    <row r="38" spans="1:16" ht="14" thickBot="1"/>
    <row r="39" spans="1:16" ht="14" thickBot="1">
      <c r="A39" s="19" t="s">
        <v>549</v>
      </c>
      <c r="B39" s="29" t="s">
        <v>550</v>
      </c>
      <c r="C39" s="29" t="s">
        <v>551</v>
      </c>
      <c r="D39" s="19" t="s">
        <v>552</v>
      </c>
      <c r="E39" s="19" t="s">
        <v>553</v>
      </c>
      <c r="F39" s="19" t="s">
        <v>734</v>
      </c>
      <c r="G39" s="34" t="s">
        <v>734</v>
      </c>
      <c r="H39" s="27" t="s">
        <v>554</v>
      </c>
      <c r="I39" s="90" t="s">
        <v>950</v>
      </c>
      <c r="J39" s="67">
        <v>23</v>
      </c>
      <c r="K39" s="67" t="s">
        <v>253</v>
      </c>
      <c r="L39" s="67" t="s">
        <v>253</v>
      </c>
      <c r="M39" s="67" t="s">
        <v>253</v>
      </c>
      <c r="N39" s="67" t="s">
        <v>253</v>
      </c>
      <c r="O39" s="68" t="s">
        <v>253</v>
      </c>
      <c r="P39" s="30" t="s">
        <v>869</v>
      </c>
    </row>
    <row r="41" spans="1:16">
      <c r="A41" s="321"/>
      <c r="B41" s="321"/>
      <c r="C41" s="321"/>
      <c r="D41" s="321"/>
      <c r="E41" s="321"/>
      <c r="F41" s="321"/>
      <c r="G41" s="321"/>
      <c r="H41" s="321"/>
      <c r="I41" s="321"/>
      <c r="J41" s="317"/>
      <c r="K41" s="317"/>
      <c r="L41" s="317"/>
      <c r="M41" s="317"/>
      <c r="N41" s="317"/>
      <c r="O41" s="317"/>
      <c r="P41" s="321"/>
    </row>
    <row r="43" spans="1:16">
      <c r="A43" s="544" t="s">
        <v>2160</v>
      </c>
      <c r="B43" s="544" t="s">
        <v>2158</v>
      </c>
      <c r="C43" s="544" t="s">
        <v>2159</v>
      </c>
      <c r="D43" s="544" t="s">
        <v>2157</v>
      </c>
      <c r="E43" s="544">
        <v>2006</v>
      </c>
      <c r="F43" s="544">
        <v>1</v>
      </c>
      <c r="G43" s="544">
        <v>11</v>
      </c>
      <c r="H43" s="545" t="s">
        <v>701</v>
      </c>
      <c r="I43" s="544" t="s">
        <v>2151</v>
      </c>
      <c r="J43" s="546">
        <v>7.3</v>
      </c>
      <c r="K43" s="546" t="s">
        <v>1046</v>
      </c>
      <c r="L43" s="546" t="s">
        <v>1046</v>
      </c>
      <c r="M43" s="546" t="s">
        <v>1046</v>
      </c>
      <c r="N43" s="546" t="s">
        <v>1046</v>
      </c>
      <c r="O43" s="546" t="s">
        <v>1046</v>
      </c>
      <c r="P43" s="544" t="s">
        <v>2152</v>
      </c>
    </row>
    <row r="44" spans="1:16">
      <c r="A44" s="544" t="s">
        <v>2160</v>
      </c>
      <c r="B44" s="544" t="s">
        <v>2158</v>
      </c>
      <c r="C44" s="544" t="s">
        <v>2159</v>
      </c>
      <c r="D44" s="544" t="s">
        <v>2157</v>
      </c>
      <c r="E44" s="544">
        <v>2006</v>
      </c>
      <c r="F44" s="544">
        <v>1</v>
      </c>
      <c r="G44" s="544">
        <v>16</v>
      </c>
      <c r="H44" s="545" t="s">
        <v>701</v>
      </c>
      <c r="I44" s="544" t="s">
        <v>2151</v>
      </c>
      <c r="J44" s="546">
        <v>7.8</v>
      </c>
      <c r="K44" s="546" t="s">
        <v>1046</v>
      </c>
      <c r="L44" s="546" t="s">
        <v>1046</v>
      </c>
      <c r="M44" s="546" t="s">
        <v>1046</v>
      </c>
      <c r="N44" s="546" t="s">
        <v>1046</v>
      </c>
      <c r="O44" s="546" t="s">
        <v>1046</v>
      </c>
      <c r="P44" s="544" t="s">
        <v>2153</v>
      </c>
    </row>
    <row r="45" spans="1:16">
      <c r="A45" s="544" t="s">
        <v>2160</v>
      </c>
      <c r="B45" s="544" t="s">
        <v>2158</v>
      </c>
      <c r="C45" s="544" t="s">
        <v>2159</v>
      </c>
      <c r="D45" s="544" t="s">
        <v>2157</v>
      </c>
      <c r="E45" s="544">
        <v>2006</v>
      </c>
      <c r="F45" s="544">
        <v>1</v>
      </c>
      <c r="G45" s="544">
        <v>19</v>
      </c>
      <c r="H45" s="545" t="s">
        <v>701</v>
      </c>
      <c r="I45" s="544" t="s">
        <v>2151</v>
      </c>
      <c r="J45" s="546">
        <v>5.3</v>
      </c>
      <c r="K45" s="546" t="s">
        <v>1046</v>
      </c>
      <c r="L45" s="546" t="s">
        <v>1046</v>
      </c>
      <c r="M45" s="546" t="s">
        <v>1046</v>
      </c>
      <c r="N45" s="546" t="s">
        <v>1046</v>
      </c>
      <c r="O45" s="546" t="s">
        <v>1046</v>
      </c>
      <c r="P45" s="544" t="s">
        <v>2154</v>
      </c>
    </row>
    <row r="46" spans="1:16" ht="14" thickBot="1">
      <c r="A46" s="544" t="s">
        <v>2160</v>
      </c>
      <c r="B46" s="544" t="s">
        <v>2158</v>
      </c>
      <c r="C46" s="544" t="s">
        <v>2159</v>
      </c>
      <c r="D46" s="544" t="s">
        <v>2157</v>
      </c>
      <c r="E46" s="544">
        <v>2006</v>
      </c>
      <c r="F46" s="544">
        <v>1</v>
      </c>
      <c r="G46" s="544">
        <v>19</v>
      </c>
      <c r="H46" s="545" t="s">
        <v>701</v>
      </c>
      <c r="I46" s="548" t="s">
        <v>2151</v>
      </c>
      <c r="J46" s="549">
        <v>5.3</v>
      </c>
      <c r="K46" s="549" t="s">
        <v>1046</v>
      </c>
      <c r="L46" s="549" t="s">
        <v>1046</v>
      </c>
      <c r="M46" s="549" t="s">
        <v>1046</v>
      </c>
      <c r="N46" s="549" t="s">
        <v>1046</v>
      </c>
      <c r="O46" s="549" t="s">
        <v>1046</v>
      </c>
      <c r="P46" s="544" t="s">
        <v>2155</v>
      </c>
    </row>
    <row r="47" spans="1:16" ht="14" thickBot="1">
      <c r="G47" s="614"/>
      <c r="I47" s="615" t="s">
        <v>2151</v>
      </c>
      <c r="J47" s="550">
        <v>6.4</v>
      </c>
      <c r="K47" s="550">
        <v>1.3</v>
      </c>
      <c r="L47" s="550" t="s">
        <v>1046</v>
      </c>
      <c r="M47" s="550" t="s">
        <v>1046</v>
      </c>
      <c r="N47" s="550" t="s">
        <v>1046</v>
      </c>
      <c r="O47" s="551" t="s">
        <v>1046</v>
      </c>
    </row>
    <row r="49" spans="1:16" s="58" customFormat="1">
      <c r="A49" s="321"/>
      <c r="B49" s="321"/>
      <c r="C49" s="321"/>
      <c r="D49" s="321"/>
      <c r="E49" s="321"/>
      <c r="F49" s="321"/>
      <c r="G49" s="321"/>
      <c r="H49" s="321"/>
      <c r="I49" s="321"/>
      <c r="J49" s="317"/>
      <c r="K49" s="317"/>
      <c r="L49" s="317"/>
      <c r="M49" s="317"/>
      <c r="N49" s="317"/>
      <c r="O49" s="317"/>
      <c r="P49" s="321"/>
    </row>
    <row r="50" spans="1:16" ht="14" thickBot="1"/>
    <row r="51" spans="1:16" ht="14" thickBot="1">
      <c r="A51" s="544" t="s">
        <v>2171</v>
      </c>
      <c r="B51" s="544" t="s">
        <v>1046</v>
      </c>
      <c r="C51" s="544" t="s">
        <v>1046</v>
      </c>
      <c r="D51" s="544" t="s">
        <v>2172</v>
      </c>
      <c r="E51" s="544" t="s">
        <v>1046</v>
      </c>
      <c r="F51" s="544" t="s">
        <v>1046</v>
      </c>
      <c r="G51" s="544" t="s">
        <v>1046</v>
      </c>
      <c r="H51" s="616" t="s">
        <v>701</v>
      </c>
      <c r="I51" s="615" t="s">
        <v>2151</v>
      </c>
      <c r="J51" s="550">
        <v>23.1</v>
      </c>
      <c r="K51" s="550" t="s">
        <v>1046</v>
      </c>
      <c r="L51" s="550" t="s">
        <v>1046</v>
      </c>
      <c r="M51" s="550" t="s">
        <v>1046</v>
      </c>
      <c r="N51" s="550" t="s">
        <v>1046</v>
      </c>
      <c r="O51" s="551" t="s">
        <v>1046</v>
      </c>
      <c r="P51" s="617"/>
    </row>
    <row r="53" spans="1:16">
      <c r="A53" s="321"/>
      <c r="B53" s="321"/>
      <c r="C53" s="321"/>
      <c r="D53" s="321"/>
      <c r="E53" s="317"/>
      <c r="F53" s="317"/>
      <c r="G53" s="317"/>
      <c r="H53" s="321"/>
      <c r="I53" s="321"/>
      <c r="J53" s="317"/>
      <c r="K53" s="317"/>
      <c r="L53" s="317"/>
      <c r="M53" s="317"/>
      <c r="N53" s="317"/>
      <c r="O53" s="317"/>
      <c r="P53" s="321"/>
    </row>
    <row r="54" spans="1:16" ht="14" customHeight="1"/>
    <row r="55" spans="1:16" ht="14" customHeight="1"/>
    <row r="56" spans="1:16" ht="14" thickBot="1">
      <c r="H56" s="1"/>
      <c r="I56" s="362"/>
      <c r="J56" s="74"/>
      <c r="K56" s="74"/>
      <c r="L56" s="74"/>
      <c r="M56" s="74"/>
      <c r="N56" s="74"/>
      <c r="O56" s="74"/>
    </row>
    <row r="57" spans="1:16" ht="14" thickBot="1">
      <c r="A57" s="648" t="s">
        <v>2066</v>
      </c>
      <c r="B57" s="649"/>
      <c r="C57" s="649"/>
      <c r="D57" s="539"/>
      <c r="H57" s="1"/>
      <c r="I57" s="363" t="s">
        <v>51</v>
      </c>
      <c r="J57" s="364">
        <f>ROUND(AVERAGE(J2,J6,J15,J31),1)</f>
        <v>3.5</v>
      </c>
      <c r="K57" s="364">
        <f>ROUND(STDEV(J2,J6,J15,J31),1)</f>
        <v>2.8</v>
      </c>
      <c r="L57" s="364">
        <f>ROUND(AVERAGE(L2,L6,L15,L31),1)</f>
        <v>69.900000000000006</v>
      </c>
      <c r="M57" s="364">
        <f>ROUND(STDEV(L2,L6,L15,L31),1)</f>
        <v>23</v>
      </c>
      <c r="N57" s="364">
        <f>ROUND(AVERAGE(N2,N6,N15,N31),1)</f>
        <v>6.5</v>
      </c>
      <c r="O57" s="365">
        <f>ROUND(STDEV(N2,N6,N15,N31),1)</f>
        <v>9</v>
      </c>
    </row>
    <row r="58" spans="1:16" ht="14" thickBot="1">
      <c r="A58" s="650" t="s">
        <v>2067</v>
      </c>
      <c r="B58" s="651"/>
      <c r="C58" s="651"/>
      <c r="D58" s="652"/>
      <c r="H58" s="1"/>
      <c r="I58" s="437" t="s">
        <v>226</v>
      </c>
      <c r="J58" s="436">
        <f>ROUND(AVERAGE(J2,28.57,J15,J31),1)</f>
        <v>9.8000000000000007</v>
      </c>
      <c r="K58" s="436">
        <f>ROUND(STDEV(J2,28.57,J15,J31),1)</f>
        <v>12.7</v>
      </c>
      <c r="L58" s="436">
        <v>69.900000000000006</v>
      </c>
      <c r="M58" s="436">
        <v>23</v>
      </c>
      <c r="N58" s="436">
        <v>6.5</v>
      </c>
      <c r="O58" s="438">
        <v>9</v>
      </c>
    </row>
    <row r="59" spans="1:16" ht="14" thickBot="1">
      <c r="H59" s="1"/>
      <c r="I59" s="533" t="s">
        <v>226</v>
      </c>
      <c r="J59" s="534">
        <f>ROUND(AVERAGE(J2,22.72,J15,J31),1)</f>
        <v>8.3000000000000007</v>
      </c>
      <c r="K59" s="534">
        <f>ROUND(STDEV(J2,22.72,J15,J31),1)</f>
        <v>9.9</v>
      </c>
      <c r="L59" s="534">
        <f>ROUND(AVERAGE(L2,88,L15,L31),1)</f>
        <v>74.5</v>
      </c>
      <c r="M59" s="534">
        <f>ROUND(STDEV(L2,88,L15,L31),1)</f>
        <v>20.9</v>
      </c>
      <c r="N59" s="534">
        <v>6.5</v>
      </c>
      <c r="O59" s="535">
        <v>9</v>
      </c>
    </row>
    <row r="60" spans="1:16" ht="14" thickBot="1">
      <c r="H60" s="613"/>
      <c r="I60" s="636"/>
      <c r="J60" s="637"/>
      <c r="K60" s="637"/>
      <c r="L60" s="637"/>
      <c r="M60" s="637"/>
      <c r="N60" s="637"/>
      <c r="O60" s="637"/>
      <c r="P60" s="613"/>
    </row>
    <row r="61" spans="1:16" ht="14" thickBot="1">
      <c r="H61" s="613"/>
      <c r="I61" s="638" t="s">
        <v>51</v>
      </c>
      <c r="J61" s="639">
        <f>ROUND(AVERAGE(J2,J6,J15,J31,J39,J47,J51),1)</f>
        <v>10.5</v>
      </c>
      <c r="K61" s="639">
        <f>ROUND(STDEV(J2,J6,J15,J31,J39,J47,J51),1)</f>
        <v>9.9</v>
      </c>
      <c r="L61" s="639">
        <f>ROUND(AVERAGE(L2,L6,L15,L31,L39),1)</f>
        <v>69.900000000000006</v>
      </c>
      <c r="M61" s="639">
        <f>ROUND(STDEV(L2,L6,L15,L31),1)</f>
        <v>23</v>
      </c>
      <c r="N61" s="639">
        <f>ROUND(AVERAGE(N2,N6,N15,N31,N39),1)</f>
        <v>6.5</v>
      </c>
      <c r="O61" s="640">
        <f>ROUND(STDEV(N2,N6,N15,N31),1)</f>
        <v>9</v>
      </c>
      <c r="P61" s="26"/>
    </row>
    <row r="62" spans="1:16" ht="14" thickBot="1">
      <c r="H62" s="613"/>
      <c r="I62" s="613"/>
      <c r="J62" s="74"/>
      <c r="K62" s="74"/>
      <c r="L62" s="74"/>
      <c r="M62" s="74"/>
      <c r="N62" s="74"/>
      <c r="O62" s="74"/>
      <c r="P62" s="26"/>
    </row>
    <row r="63" spans="1:16">
      <c r="I63" s="363" t="s">
        <v>675</v>
      </c>
      <c r="J63" s="364">
        <v>0.5</v>
      </c>
      <c r="K63" s="364" t="s">
        <v>1952</v>
      </c>
      <c r="L63" s="364">
        <v>0.88</v>
      </c>
      <c r="M63" s="364" t="s">
        <v>1952</v>
      </c>
      <c r="N63" s="364">
        <f>ROUND((J63*L63),2)</f>
        <v>0.44</v>
      </c>
      <c r="O63" s="365" t="s">
        <v>1952</v>
      </c>
    </row>
    <row r="64" spans="1:16">
      <c r="I64" s="532" t="s">
        <v>1748</v>
      </c>
      <c r="J64" s="436">
        <v>1.1200000000000001</v>
      </c>
      <c r="K64" s="436" t="s">
        <v>1952</v>
      </c>
      <c r="L64" s="436">
        <v>0.88</v>
      </c>
      <c r="M64" s="436" t="s">
        <v>1952</v>
      </c>
      <c r="N64" s="436">
        <f t="shared" ref="N64:N75" si="1">ROUND((J64*L64),2)</f>
        <v>0.99</v>
      </c>
      <c r="O64" s="438" t="s">
        <v>1952</v>
      </c>
    </row>
    <row r="65" spans="8:15">
      <c r="I65" s="437" t="s">
        <v>1749</v>
      </c>
      <c r="J65" s="436">
        <v>1.54</v>
      </c>
      <c r="K65" s="436" t="s">
        <v>1952</v>
      </c>
      <c r="L65" s="436">
        <v>0.88</v>
      </c>
      <c r="M65" s="436" t="s">
        <v>1952</v>
      </c>
      <c r="N65" s="436">
        <f t="shared" si="1"/>
        <v>1.36</v>
      </c>
      <c r="O65" s="438" t="s">
        <v>1952</v>
      </c>
    </row>
    <row r="66" spans="8:15">
      <c r="I66" s="437" t="s">
        <v>1750</v>
      </c>
      <c r="J66" s="436">
        <v>2.36</v>
      </c>
      <c r="K66" s="436" t="s">
        <v>1952</v>
      </c>
      <c r="L66" s="436">
        <v>0.88</v>
      </c>
      <c r="M66" s="436" t="s">
        <v>1952</v>
      </c>
      <c r="N66" s="436">
        <f t="shared" si="1"/>
        <v>2.08</v>
      </c>
      <c r="O66" s="438" t="s">
        <v>1952</v>
      </c>
    </row>
    <row r="67" spans="8:15">
      <c r="I67" s="437" t="s">
        <v>1751</v>
      </c>
      <c r="J67" s="436">
        <v>0.21</v>
      </c>
      <c r="K67" s="436" t="s">
        <v>1952</v>
      </c>
      <c r="L67" s="436">
        <v>0.88</v>
      </c>
      <c r="M67" s="436" t="s">
        <v>1952</v>
      </c>
      <c r="N67" s="436">
        <f t="shared" si="1"/>
        <v>0.18</v>
      </c>
      <c r="O67" s="438" t="s">
        <v>1952</v>
      </c>
    </row>
    <row r="68" spans="8:15">
      <c r="I68" s="437" t="s">
        <v>1068</v>
      </c>
      <c r="J68" s="436">
        <v>10.039999999999999</v>
      </c>
      <c r="K68" s="436" t="s">
        <v>1952</v>
      </c>
      <c r="L68" s="436">
        <v>0.88</v>
      </c>
      <c r="M68" s="436" t="s">
        <v>1952</v>
      </c>
      <c r="N68" s="436">
        <f t="shared" si="1"/>
        <v>8.84</v>
      </c>
      <c r="O68" s="438" t="s">
        <v>1952</v>
      </c>
    </row>
    <row r="69" spans="8:15">
      <c r="I69" s="437" t="s">
        <v>1752</v>
      </c>
      <c r="J69" s="436">
        <v>0.24</v>
      </c>
      <c r="K69" s="436" t="s">
        <v>1952</v>
      </c>
      <c r="L69" s="436">
        <v>0.88</v>
      </c>
      <c r="M69" s="436" t="s">
        <v>1952</v>
      </c>
      <c r="N69" s="436">
        <f t="shared" si="1"/>
        <v>0.21</v>
      </c>
      <c r="O69" s="438" t="s">
        <v>1952</v>
      </c>
    </row>
    <row r="70" spans="8:15">
      <c r="I70" s="437" t="s">
        <v>538</v>
      </c>
      <c r="J70" s="436">
        <v>0.5</v>
      </c>
      <c r="K70" s="436" t="s">
        <v>1952</v>
      </c>
      <c r="L70" s="436">
        <v>0.88</v>
      </c>
      <c r="M70" s="436" t="s">
        <v>1952</v>
      </c>
      <c r="N70" s="436">
        <f t="shared" si="1"/>
        <v>0.44</v>
      </c>
      <c r="O70" s="438" t="s">
        <v>1952</v>
      </c>
    </row>
    <row r="71" spans="8:15">
      <c r="I71" s="532" t="s">
        <v>1857</v>
      </c>
      <c r="J71" s="436">
        <v>0.52</v>
      </c>
      <c r="K71" s="436" t="s">
        <v>1952</v>
      </c>
      <c r="L71" s="436">
        <v>0.88</v>
      </c>
      <c r="M71" s="436" t="s">
        <v>1952</v>
      </c>
      <c r="N71" s="436">
        <f t="shared" si="1"/>
        <v>0.46</v>
      </c>
      <c r="O71" s="438" t="s">
        <v>1952</v>
      </c>
    </row>
    <row r="72" spans="8:15">
      <c r="I72" s="437" t="s">
        <v>1858</v>
      </c>
      <c r="J72" s="436">
        <v>9.08</v>
      </c>
      <c r="K72" s="436" t="s">
        <v>1952</v>
      </c>
      <c r="L72" s="436">
        <v>0.88</v>
      </c>
      <c r="M72" s="436" t="s">
        <v>1952</v>
      </c>
      <c r="N72" s="436">
        <f t="shared" si="1"/>
        <v>7.99</v>
      </c>
      <c r="O72" s="438" t="s">
        <v>1952</v>
      </c>
    </row>
    <row r="73" spans="8:15">
      <c r="I73" s="437" t="s">
        <v>52</v>
      </c>
      <c r="J73" s="436" t="s">
        <v>392</v>
      </c>
      <c r="K73" s="436" t="s">
        <v>392</v>
      </c>
      <c r="L73" s="436" t="s">
        <v>392</v>
      </c>
      <c r="M73" s="436" t="s">
        <v>392</v>
      </c>
      <c r="N73" s="436">
        <v>20</v>
      </c>
      <c r="O73" s="438" t="s">
        <v>392</v>
      </c>
    </row>
    <row r="74" spans="8:15">
      <c r="I74" s="532" t="s">
        <v>1069</v>
      </c>
      <c r="J74" s="436">
        <v>0.36</v>
      </c>
      <c r="K74" s="436" t="s">
        <v>1952</v>
      </c>
      <c r="L74" s="436">
        <v>0.68</v>
      </c>
      <c r="M74" s="436" t="s">
        <v>1952</v>
      </c>
      <c r="N74" s="436">
        <f t="shared" si="1"/>
        <v>0.24</v>
      </c>
      <c r="O74" s="438" t="s">
        <v>1952</v>
      </c>
    </row>
    <row r="75" spans="8:15">
      <c r="I75" s="437" t="s">
        <v>1829</v>
      </c>
      <c r="J75" s="436">
        <v>11.88</v>
      </c>
      <c r="K75" s="436" t="s">
        <v>1952</v>
      </c>
      <c r="L75" s="436">
        <v>0.88</v>
      </c>
      <c r="M75" s="436" t="s">
        <v>1952</v>
      </c>
      <c r="N75" s="436">
        <f t="shared" si="1"/>
        <v>10.45</v>
      </c>
      <c r="O75" s="438" t="s">
        <v>1952</v>
      </c>
    </row>
    <row r="76" spans="8:15" ht="14" thickBot="1">
      <c r="H76" s="1"/>
      <c r="I76" s="533" t="s">
        <v>49</v>
      </c>
      <c r="J76" s="534">
        <f>ROUND(AVERAGE(J63:J75),1)</f>
        <v>3.2</v>
      </c>
      <c r="K76" s="534" t="s">
        <v>392</v>
      </c>
      <c r="L76" s="534">
        <f t="shared" ref="L76:N76" si="2">ROUND(AVERAGE(L63:L75),1)</f>
        <v>0.9</v>
      </c>
      <c r="M76" s="534" t="s">
        <v>392</v>
      </c>
      <c r="N76" s="534">
        <f t="shared" si="2"/>
        <v>4.0999999999999996</v>
      </c>
      <c r="O76" s="535" t="s">
        <v>392</v>
      </c>
    </row>
  </sheetData>
  <mergeCells count="2">
    <mergeCell ref="A57:C57"/>
    <mergeCell ref="A58:D58"/>
  </mergeCells>
  <phoneticPr fontId="17" type="noConversion"/>
  <pageMargins left="0.75" right="0.75" top="1" bottom="1" header="0.5" footer="0.5"/>
  <pageSetup paperSize="9" orientation="portrait" horizontalDpi="4294967292" verticalDpi="4294967292"/>
  <ignoredErrors>
    <ignoredError sqref="K57 L61:N61 L57:N59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24"/>
  <sheetViews>
    <sheetView workbookViewId="0">
      <selection activeCell="J22" sqref="J22"/>
    </sheetView>
  </sheetViews>
  <sheetFormatPr baseColWidth="10" defaultRowHeight="13" x14ac:dyDescent="0"/>
  <sheetData>
    <row r="1" spans="1:124" s="7" customFormat="1" ht="32" customHeigh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>
      <c r="A2" s="19" t="s">
        <v>1227</v>
      </c>
      <c r="B2" s="29" t="s">
        <v>1131</v>
      </c>
      <c r="C2" s="29" t="s">
        <v>1132</v>
      </c>
      <c r="D2" s="19" t="s">
        <v>1133</v>
      </c>
      <c r="E2" s="19">
        <v>1986</v>
      </c>
      <c r="F2" s="19">
        <v>12</v>
      </c>
      <c r="G2" s="72">
        <v>12</v>
      </c>
      <c r="H2" s="19" t="s">
        <v>1047</v>
      </c>
      <c r="I2" s="19" t="s">
        <v>253</v>
      </c>
      <c r="J2" s="22" t="s">
        <v>253</v>
      </c>
      <c r="K2" s="22" t="s">
        <v>986</v>
      </c>
      <c r="L2" s="22" t="s">
        <v>986</v>
      </c>
      <c r="M2" s="22" t="s">
        <v>986</v>
      </c>
      <c r="N2" s="109">
        <v>20</v>
      </c>
      <c r="O2" s="109" t="s">
        <v>986</v>
      </c>
      <c r="P2" s="19" t="s">
        <v>1944</v>
      </c>
    </row>
    <row r="3" spans="1:124" ht="14" thickBot="1">
      <c r="A3" s="19" t="s">
        <v>1227</v>
      </c>
      <c r="B3" s="29" t="s">
        <v>1131</v>
      </c>
      <c r="C3" s="29" t="s">
        <v>1132</v>
      </c>
      <c r="D3" s="19" t="s">
        <v>1120</v>
      </c>
      <c r="E3" s="19">
        <v>1986</v>
      </c>
      <c r="F3" s="19">
        <v>12</v>
      </c>
      <c r="G3" s="72">
        <v>12</v>
      </c>
      <c r="H3" s="19" t="s">
        <v>1047</v>
      </c>
      <c r="I3" s="38" t="s">
        <v>986</v>
      </c>
      <c r="J3" s="45" t="s">
        <v>986</v>
      </c>
      <c r="K3" s="45" t="s">
        <v>986</v>
      </c>
      <c r="L3" s="45" t="s">
        <v>986</v>
      </c>
      <c r="M3" s="45" t="s">
        <v>986</v>
      </c>
      <c r="N3" s="110">
        <v>70</v>
      </c>
      <c r="O3" s="110" t="s">
        <v>986</v>
      </c>
      <c r="P3" s="19" t="s">
        <v>1944</v>
      </c>
    </row>
    <row r="4" spans="1:124" ht="14" thickBot="1">
      <c r="A4" s="3"/>
      <c r="B4" s="5"/>
      <c r="C4" s="5"/>
      <c r="D4" s="3"/>
      <c r="E4" s="3"/>
      <c r="F4" s="3"/>
      <c r="G4" s="65"/>
      <c r="H4" s="3"/>
      <c r="I4" s="113" t="s">
        <v>1034</v>
      </c>
      <c r="J4" s="70" t="s">
        <v>253</v>
      </c>
      <c r="K4" s="70" t="s">
        <v>253</v>
      </c>
      <c r="L4" s="70" t="s">
        <v>253</v>
      </c>
      <c r="M4" s="70" t="s">
        <v>253</v>
      </c>
      <c r="N4" s="115">
        <f>AVERAGE(N2:N3)</f>
        <v>45</v>
      </c>
      <c r="O4" s="116" t="s">
        <v>253</v>
      </c>
      <c r="P4" s="3"/>
    </row>
    <row r="6" spans="1:124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1:124" ht="14" thickBot="1"/>
    <row r="8" spans="1:124">
      <c r="A8" s="19" t="s">
        <v>1226</v>
      </c>
      <c r="B8" s="29" t="s">
        <v>1015</v>
      </c>
      <c r="C8" s="29" t="s">
        <v>1020</v>
      </c>
      <c r="D8" s="19" t="s">
        <v>1021</v>
      </c>
      <c r="E8" s="19" t="s">
        <v>986</v>
      </c>
      <c r="F8" s="19" t="s">
        <v>986</v>
      </c>
      <c r="G8" s="19" t="s">
        <v>986</v>
      </c>
      <c r="H8" s="27" t="s">
        <v>1047</v>
      </c>
      <c r="I8" s="119" t="s">
        <v>253</v>
      </c>
      <c r="J8" s="96">
        <v>59.6</v>
      </c>
      <c r="K8" s="96">
        <v>5.9</v>
      </c>
      <c r="L8" s="96">
        <v>83</v>
      </c>
      <c r="M8" s="96">
        <v>6</v>
      </c>
      <c r="N8" s="122">
        <v>49.9</v>
      </c>
      <c r="O8" s="123">
        <v>8.4</v>
      </c>
      <c r="P8" s="30" t="s">
        <v>1943</v>
      </c>
    </row>
    <row r="9" spans="1:124">
      <c r="A9" s="19" t="s">
        <v>1226</v>
      </c>
      <c r="B9" s="29" t="s">
        <v>895</v>
      </c>
      <c r="C9" s="29" t="s">
        <v>896</v>
      </c>
      <c r="D9" s="19" t="s">
        <v>897</v>
      </c>
      <c r="E9" s="19" t="s">
        <v>986</v>
      </c>
      <c r="F9" s="19" t="s">
        <v>986</v>
      </c>
      <c r="G9" s="19" t="s">
        <v>986</v>
      </c>
      <c r="H9" s="27" t="s">
        <v>1047</v>
      </c>
      <c r="I9" s="120" t="s">
        <v>253</v>
      </c>
      <c r="J9" s="46">
        <v>19.5</v>
      </c>
      <c r="K9" s="46">
        <v>6.7</v>
      </c>
      <c r="L9" s="46">
        <v>75</v>
      </c>
      <c r="M9" s="46">
        <v>4</v>
      </c>
      <c r="N9" s="117">
        <v>14.8</v>
      </c>
      <c r="O9" s="124">
        <v>5.4</v>
      </c>
      <c r="P9" s="30" t="s">
        <v>1942</v>
      </c>
    </row>
    <row r="10" spans="1:124" ht="14" thickBot="1">
      <c r="A10" s="19" t="s">
        <v>1226</v>
      </c>
      <c r="B10" s="29" t="s">
        <v>898</v>
      </c>
      <c r="C10" s="29" t="s">
        <v>899</v>
      </c>
      <c r="D10" s="19" t="s">
        <v>1048</v>
      </c>
      <c r="E10" s="19" t="s">
        <v>986</v>
      </c>
      <c r="F10" s="19" t="s">
        <v>986</v>
      </c>
      <c r="G10" s="19" t="s">
        <v>986</v>
      </c>
      <c r="H10" s="27" t="s">
        <v>1047</v>
      </c>
      <c r="I10" s="121" t="s">
        <v>253</v>
      </c>
      <c r="J10" s="99">
        <v>21.3</v>
      </c>
      <c r="K10" s="99" t="s">
        <v>253</v>
      </c>
      <c r="L10" s="99">
        <v>77</v>
      </c>
      <c r="M10" s="99" t="s">
        <v>253</v>
      </c>
      <c r="N10" s="125">
        <v>16.3</v>
      </c>
      <c r="O10" s="126" t="s">
        <v>253</v>
      </c>
      <c r="P10" s="30" t="s">
        <v>1941</v>
      </c>
    </row>
    <row r="12" spans="1:124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</row>
    <row r="14" spans="1:124">
      <c r="A14" s="544" t="s">
        <v>2132</v>
      </c>
      <c r="B14" s="544" t="s">
        <v>2138</v>
      </c>
      <c r="C14" s="544" t="s">
        <v>2139</v>
      </c>
      <c r="D14" s="544" t="s">
        <v>2133</v>
      </c>
      <c r="E14" s="544">
        <v>2009</v>
      </c>
      <c r="F14" s="544">
        <v>11</v>
      </c>
      <c r="G14" s="544">
        <v>11</v>
      </c>
      <c r="H14" s="545" t="s">
        <v>1047</v>
      </c>
      <c r="I14" s="545" t="s">
        <v>1046</v>
      </c>
      <c r="J14" s="546">
        <v>12.6</v>
      </c>
      <c r="K14" s="546" t="s">
        <v>1046</v>
      </c>
      <c r="L14" s="546">
        <v>63</v>
      </c>
      <c r="M14" s="546" t="s">
        <v>1046</v>
      </c>
      <c r="N14" s="546">
        <v>7.9</v>
      </c>
      <c r="O14" s="546" t="s">
        <v>1046</v>
      </c>
      <c r="P14" s="544" t="s">
        <v>2118</v>
      </c>
    </row>
    <row r="15" spans="1:124" ht="14" thickBot="1">
      <c r="A15" s="544" t="s">
        <v>2132</v>
      </c>
      <c r="B15" s="544" t="s">
        <v>2138</v>
      </c>
      <c r="C15" s="544" t="s">
        <v>2139</v>
      </c>
      <c r="D15" s="544" t="s">
        <v>2133</v>
      </c>
      <c r="E15" s="544">
        <v>2009</v>
      </c>
      <c r="F15" s="544">
        <v>11</v>
      </c>
      <c r="G15" s="544">
        <v>11</v>
      </c>
      <c r="H15" s="545" t="s">
        <v>1047</v>
      </c>
      <c r="I15" s="563" t="s">
        <v>1046</v>
      </c>
      <c r="J15" s="549">
        <v>15.6</v>
      </c>
      <c r="K15" s="549" t="s">
        <v>1046</v>
      </c>
      <c r="L15" s="549">
        <v>72</v>
      </c>
      <c r="M15" s="549" t="s">
        <v>1046</v>
      </c>
      <c r="N15" s="549">
        <v>11.3</v>
      </c>
      <c r="O15" s="549" t="s">
        <v>1046</v>
      </c>
      <c r="P15" s="544" t="s">
        <v>2119</v>
      </c>
    </row>
    <row r="16" spans="1:124" ht="14" thickBot="1">
      <c r="H16" s="3"/>
      <c r="I16" s="564" t="s">
        <v>2126</v>
      </c>
      <c r="J16" s="550">
        <f>ROUND(AVERAGE(J14:J15),)</f>
        <v>14</v>
      </c>
      <c r="K16" s="550" t="s">
        <v>1046</v>
      </c>
      <c r="L16" s="550">
        <f t="shared" ref="L16:N16" si="0">ROUND(AVERAGE(L14:L15),)</f>
        <v>68</v>
      </c>
      <c r="M16" s="550" t="s">
        <v>1046</v>
      </c>
      <c r="N16" s="550">
        <f t="shared" si="0"/>
        <v>10</v>
      </c>
      <c r="O16" s="551" t="s">
        <v>1046</v>
      </c>
      <c r="P16" s="58"/>
    </row>
    <row r="18" spans="1:16">
      <c r="A18" s="543"/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</row>
    <row r="21" spans="1:16" ht="14" thickBot="1"/>
    <row r="22" spans="1:16" ht="14" thickBot="1">
      <c r="A22" s="609" t="s">
        <v>2090</v>
      </c>
      <c r="B22" s="610"/>
      <c r="C22" s="610"/>
      <c r="D22" s="539"/>
      <c r="I22" s="366" t="s">
        <v>1998</v>
      </c>
      <c r="J22" s="367">
        <f>ROUND(AVERAGE(J4,J8,J9,J10,J16),1)</f>
        <v>28.6</v>
      </c>
      <c r="K22" s="367">
        <f>ROUND(STDEV(J4,J8,J9,J10,J16),1)</f>
        <v>20.9</v>
      </c>
      <c r="L22" s="367">
        <f>ROUND(AVERAGE(L4,L8,L9,L10,L16),1)</f>
        <v>75.8</v>
      </c>
      <c r="M22" s="367">
        <f>ROUND(STDEV(L4,L8,L9,L10,L16),1)</f>
        <v>6.2</v>
      </c>
      <c r="N22" s="367">
        <f>ROUND(AVERAGE(N4,N8,N9,N10,N16),1)</f>
        <v>27.2</v>
      </c>
      <c r="O22" s="368">
        <f>ROUND(STDEV(N4,N8,N9,N10,N16),1)</f>
        <v>18.7</v>
      </c>
    </row>
    <row r="23" spans="1:16" ht="14" thickBot="1">
      <c r="A23" s="611" t="s">
        <v>2065</v>
      </c>
      <c r="B23" s="612"/>
      <c r="C23" s="612"/>
      <c r="D23" s="542"/>
      <c r="I23" s="366" t="s">
        <v>1998</v>
      </c>
      <c r="J23" s="367">
        <f>ROUND(AVERAGE(45,J8,J9,J10,J16),1)</f>
        <v>31.9</v>
      </c>
      <c r="K23" s="367">
        <f>ROUND(STDEV(45,J8,J9,J10,J16),1)</f>
        <v>19.5</v>
      </c>
      <c r="L23" s="367">
        <f>ROUND(AVERAGE(L4,L8,L9,L10,L16),1)</f>
        <v>75.8</v>
      </c>
      <c r="M23" s="367">
        <f>ROUND(STDEV(L4,L8,L9,L10,L16),1)</f>
        <v>6.2</v>
      </c>
      <c r="N23" s="367">
        <f>ROUND(AVERAGE(N4,N8,N9,N10,N16),1)</f>
        <v>27.2</v>
      </c>
      <c r="O23" s="368">
        <f>ROUND(STDEV(N4,N8,N9,N10,N16),1)</f>
        <v>18.7</v>
      </c>
    </row>
    <row r="24" spans="1:16" ht="14" thickBot="1">
      <c r="I24" s="366" t="s">
        <v>1998</v>
      </c>
      <c r="J24" s="367">
        <f>ROUND(AVERAGE(59.33,J8,J9,J10,J16),1)</f>
        <v>34.700000000000003</v>
      </c>
      <c r="K24" s="367">
        <f>ROUND(STDEV(59.33,J8,J9,J10,J16),1)</f>
        <v>22.7</v>
      </c>
      <c r="L24" s="367">
        <f>ROUND(AVERAGE(L4,L8,L9,L10,L16),1)</f>
        <v>75.8</v>
      </c>
      <c r="M24" s="367">
        <f>ROUND(STDEV(L4,L8,L9,L10,L16),1)</f>
        <v>6.2</v>
      </c>
      <c r="N24" s="367">
        <f>ROUND(AVERAGE(N4,N8,N9,N10,N16),1)</f>
        <v>27.2</v>
      </c>
      <c r="O24" s="368">
        <f>ROUND(STDEV(N4,N8,N9,N10,N16),1)</f>
        <v>18.7</v>
      </c>
    </row>
  </sheetData>
  <phoneticPr fontId="17" type="noConversion"/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47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49" sqref="D49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5" s="7" customFormat="1" ht="32" customHeight="1" thickBo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41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2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16" thickBot="1">
      <c r="A2" s="28" t="s">
        <v>853</v>
      </c>
      <c r="B2" s="29" t="s">
        <v>854</v>
      </c>
      <c r="C2" s="29" t="s">
        <v>618</v>
      </c>
      <c r="D2" s="19" t="s">
        <v>619</v>
      </c>
      <c r="E2" s="19" t="s">
        <v>620</v>
      </c>
      <c r="F2" s="19" t="s">
        <v>621</v>
      </c>
      <c r="G2" s="19" t="s">
        <v>621</v>
      </c>
      <c r="H2" s="27" t="s">
        <v>701</v>
      </c>
      <c r="I2" s="264" t="s">
        <v>2049</v>
      </c>
      <c r="J2" s="31" t="s">
        <v>868</v>
      </c>
      <c r="K2" s="32" t="s">
        <v>868</v>
      </c>
      <c r="L2" s="32" t="s">
        <v>868</v>
      </c>
      <c r="M2" s="32" t="s">
        <v>868</v>
      </c>
      <c r="N2" s="32">
        <v>500</v>
      </c>
      <c r="O2" s="33" t="s">
        <v>868</v>
      </c>
      <c r="P2" s="30" t="s">
        <v>1000</v>
      </c>
    </row>
    <row r="4" spans="1:125">
      <c r="A4" s="296"/>
      <c r="B4" s="296"/>
      <c r="C4" s="296"/>
      <c r="D4" s="296"/>
      <c r="E4" s="296"/>
      <c r="F4" s="296"/>
      <c r="G4" s="296"/>
      <c r="H4" s="296"/>
      <c r="I4" s="296"/>
      <c r="J4" s="301"/>
      <c r="K4" s="301"/>
      <c r="L4" s="301"/>
      <c r="M4" s="301"/>
      <c r="N4" s="301"/>
      <c r="O4" s="301"/>
      <c r="P4" s="296"/>
    </row>
    <row r="6" spans="1:125">
      <c r="A6" s="19" t="s">
        <v>638</v>
      </c>
      <c r="B6" s="29" t="s">
        <v>639</v>
      </c>
      <c r="C6" s="29" t="s">
        <v>640</v>
      </c>
      <c r="D6" s="19" t="s">
        <v>528</v>
      </c>
      <c r="E6" s="19">
        <v>2002</v>
      </c>
      <c r="F6" s="19" t="s">
        <v>743</v>
      </c>
      <c r="G6" s="19" t="s">
        <v>1046</v>
      </c>
      <c r="H6" s="19" t="s">
        <v>701</v>
      </c>
      <c r="I6" s="87" t="s">
        <v>1769</v>
      </c>
      <c r="J6" s="83">
        <v>396</v>
      </c>
      <c r="K6" s="83" t="s">
        <v>1046</v>
      </c>
      <c r="L6" s="83">
        <v>20</v>
      </c>
      <c r="M6" s="83" t="s">
        <v>1046</v>
      </c>
      <c r="N6" s="83">
        <v>81</v>
      </c>
      <c r="O6" s="83" t="s">
        <v>1046</v>
      </c>
      <c r="P6" s="19" t="s">
        <v>868</v>
      </c>
    </row>
    <row r="7" spans="1:125">
      <c r="A7" s="19" t="s">
        <v>638</v>
      </c>
      <c r="B7" s="29" t="s">
        <v>744</v>
      </c>
      <c r="C7" s="29" t="s">
        <v>815</v>
      </c>
      <c r="D7" s="19" t="s">
        <v>528</v>
      </c>
      <c r="E7" s="19">
        <v>2002</v>
      </c>
      <c r="F7" s="19" t="s">
        <v>743</v>
      </c>
      <c r="G7" s="19" t="s">
        <v>1046</v>
      </c>
      <c r="H7" s="19" t="s">
        <v>701</v>
      </c>
      <c r="I7" s="87" t="s">
        <v>1769</v>
      </c>
      <c r="J7" s="83">
        <v>405</v>
      </c>
      <c r="K7" s="83" t="s">
        <v>1046</v>
      </c>
      <c r="L7" s="83">
        <v>25</v>
      </c>
      <c r="M7" s="83" t="s">
        <v>1046</v>
      </c>
      <c r="N7" s="83">
        <v>100</v>
      </c>
      <c r="O7" s="83" t="s">
        <v>1046</v>
      </c>
      <c r="P7" s="19" t="s">
        <v>868</v>
      </c>
    </row>
    <row r="8" spans="1:125">
      <c r="A8" s="19" t="s">
        <v>638</v>
      </c>
      <c r="B8" s="29" t="s">
        <v>691</v>
      </c>
      <c r="C8" s="29" t="s">
        <v>464</v>
      </c>
      <c r="D8" s="19" t="s">
        <v>528</v>
      </c>
      <c r="E8" s="19">
        <v>2002</v>
      </c>
      <c r="F8" s="19" t="s">
        <v>743</v>
      </c>
      <c r="G8" s="19" t="s">
        <v>1046</v>
      </c>
      <c r="H8" s="19" t="s">
        <v>701</v>
      </c>
      <c r="I8" s="87" t="s">
        <v>1769</v>
      </c>
      <c r="J8" s="83">
        <v>385</v>
      </c>
      <c r="K8" s="83" t="s">
        <v>1046</v>
      </c>
      <c r="L8" s="83">
        <v>23</v>
      </c>
      <c r="M8" s="83" t="s">
        <v>1046</v>
      </c>
      <c r="N8" s="83">
        <v>89</v>
      </c>
      <c r="O8" s="83" t="s">
        <v>1046</v>
      </c>
      <c r="P8" s="19" t="s">
        <v>868</v>
      </c>
    </row>
    <row r="9" spans="1:125">
      <c r="A9" s="19" t="s">
        <v>638</v>
      </c>
      <c r="B9" s="29" t="s">
        <v>465</v>
      </c>
      <c r="C9" s="29" t="s">
        <v>466</v>
      </c>
      <c r="D9" s="19" t="s">
        <v>528</v>
      </c>
      <c r="E9" s="19">
        <v>2002</v>
      </c>
      <c r="F9" s="19" t="s">
        <v>743</v>
      </c>
      <c r="G9" s="19" t="s">
        <v>1046</v>
      </c>
      <c r="H9" s="19" t="s">
        <v>701</v>
      </c>
      <c r="I9" s="87" t="s">
        <v>1769</v>
      </c>
      <c r="J9" s="83">
        <v>382</v>
      </c>
      <c r="K9" s="83" t="s">
        <v>1046</v>
      </c>
      <c r="L9" s="83">
        <v>31</v>
      </c>
      <c r="M9" s="83" t="s">
        <v>1046</v>
      </c>
      <c r="N9" s="83">
        <v>117</v>
      </c>
      <c r="O9" s="83" t="s">
        <v>1046</v>
      </c>
      <c r="P9" s="19" t="s">
        <v>868</v>
      </c>
    </row>
    <row r="10" spans="1:125">
      <c r="A10" s="19" t="s">
        <v>99</v>
      </c>
      <c r="B10" s="29" t="s">
        <v>598</v>
      </c>
      <c r="C10" s="29" t="s">
        <v>464</v>
      </c>
      <c r="D10" s="19" t="s">
        <v>528</v>
      </c>
      <c r="E10" s="19">
        <v>2002</v>
      </c>
      <c r="F10" s="19" t="s">
        <v>743</v>
      </c>
      <c r="G10" s="19" t="s">
        <v>1046</v>
      </c>
      <c r="H10" s="19" t="s">
        <v>701</v>
      </c>
      <c r="I10" s="87" t="s">
        <v>1769</v>
      </c>
      <c r="J10" s="83">
        <v>393</v>
      </c>
      <c r="K10" s="83" t="s">
        <v>1046</v>
      </c>
      <c r="L10" s="83">
        <v>32</v>
      </c>
      <c r="M10" s="83" t="s">
        <v>1046</v>
      </c>
      <c r="N10" s="83">
        <v>125</v>
      </c>
      <c r="O10" s="83" t="s">
        <v>1046</v>
      </c>
      <c r="P10" s="19" t="s">
        <v>868</v>
      </c>
    </row>
    <row r="11" spans="1:125">
      <c r="A11" s="19" t="s">
        <v>638</v>
      </c>
      <c r="B11" s="29" t="s">
        <v>599</v>
      </c>
      <c r="C11" s="29" t="s">
        <v>600</v>
      </c>
      <c r="D11" s="19" t="s">
        <v>528</v>
      </c>
      <c r="E11" s="19">
        <v>2002</v>
      </c>
      <c r="F11" s="19" t="s">
        <v>743</v>
      </c>
      <c r="G11" s="19" t="s">
        <v>1046</v>
      </c>
      <c r="H11" s="19" t="s">
        <v>701</v>
      </c>
      <c r="I11" s="87" t="s">
        <v>1769</v>
      </c>
      <c r="J11" s="83">
        <v>408</v>
      </c>
      <c r="K11" s="83" t="s">
        <v>1046</v>
      </c>
      <c r="L11" s="83">
        <v>31</v>
      </c>
      <c r="M11" s="83" t="s">
        <v>1046</v>
      </c>
      <c r="N11" s="83">
        <v>126</v>
      </c>
      <c r="O11" s="83" t="s">
        <v>1046</v>
      </c>
      <c r="P11" s="30" t="s">
        <v>868</v>
      </c>
    </row>
    <row r="12" spans="1:125">
      <c r="A12" s="19" t="s">
        <v>638</v>
      </c>
      <c r="B12" s="29" t="s">
        <v>601</v>
      </c>
      <c r="C12" s="29" t="s">
        <v>600</v>
      </c>
      <c r="D12" s="19" t="s">
        <v>528</v>
      </c>
      <c r="E12" s="19">
        <v>2002</v>
      </c>
      <c r="F12" s="19" t="s">
        <v>743</v>
      </c>
      <c r="G12" s="19" t="s">
        <v>1046</v>
      </c>
      <c r="H12" s="19" t="s">
        <v>701</v>
      </c>
      <c r="I12" s="87" t="s">
        <v>1769</v>
      </c>
      <c r="J12" s="83">
        <v>405</v>
      </c>
      <c r="K12" s="83" t="s">
        <v>1046</v>
      </c>
      <c r="L12" s="83">
        <v>33</v>
      </c>
      <c r="M12" s="83" t="s">
        <v>1046</v>
      </c>
      <c r="N12" s="83">
        <v>135</v>
      </c>
      <c r="O12" s="83" t="s">
        <v>1046</v>
      </c>
      <c r="P12" s="30" t="s">
        <v>868</v>
      </c>
    </row>
    <row r="13" spans="1:125">
      <c r="A13" s="19" t="s">
        <v>638</v>
      </c>
      <c r="B13" s="29" t="s">
        <v>602</v>
      </c>
      <c r="C13" s="29" t="s">
        <v>603</v>
      </c>
      <c r="D13" s="19" t="s">
        <v>528</v>
      </c>
      <c r="E13" s="19">
        <v>2002</v>
      </c>
      <c r="F13" s="19" t="s">
        <v>743</v>
      </c>
      <c r="G13" s="19" t="s">
        <v>1046</v>
      </c>
      <c r="H13" s="19" t="s">
        <v>701</v>
      </c>
      <c r="I13" s="87" t="s">
        <v>1769</v>
      </c>
      <c r="J13" s="83">
        <v>415</v>
      </c>
      <c r="K13" s="83" t="s">
        <v>1046</v>
      </c>
      <c r="L13" s="83">
        <v>27</v>
      </c>
      <c r="M13" s="83" t="s">
        <v>1046</v>
      </c>
      <c r="N13" s="83">
        <v>114</v>
      </c>
      <c r="O13" s="83" t="s">
        <v>1046</v>
      </c>
      <c r="P13" s="30" t="s">
        <v>868</v>
      </c>
    </row>
    <row r="14" spans="1:125" ht="14" thickBot="1">
      <c r="A14" s="19" t="s">
        <v>638</v>
      </c>
      <c r="B14" s="29" t="s">
        <v>604</v>
      </c>
      <c r="C14" s="29" t="s">
        <v>603</v>
      </c>
      <c r="D14" s="19" t="s">
        <v>528</v>
      </c>
      <c r="E14" s="19">
        <v>2002</v>
      </c>
      <c r="F14" s="19" t="s">
        <v>743</v>
      </c>
      <c r="G14" s="19" t="s">
        <v>1046</v>
      </c>
      <c r="H14" s="19" t="s">
        <v>701</v>
      </c>
      <c r="I14" s="87" t="s">
        <v>1769</v>
      </c>
      <c r="J14" s="84">
        <v>404</v>
      </c>
      <c r="K14" s="84" t="s">
        <v>1046</v>
      </c>
      <c r="L14" s="84">
        <v>23</v>
      </c>
      <c r="M14" s="84" t="s">
        <v>1046</v>
      </c>
      <c r="N14" s="84">
        <v>94</v>
      </c>
      <c r="O14" s="84" t="s">
        <v>1046</v>
      </c>
      <c r="P14" s="30" t="s">
        <v>868</v>
      </c>
    </row>
    <row r="15" spans="1:125" ht="14" thickBot="1">
      <c r="I15" s="39" t="s">
        <v>243</v>
      </c>
      <c r="J15" s="10">
        <f>ROUND(AVERAGE(J6:J14),1)</f>
        <v>399.2</v>
      </c>
      <c r="K15" s="11">
        <f>ROUND(STDEV(J6:J14),1)</f>
        <v>11</v>
      </c>
      <c r="L15" s="11">
        <f>ROUND(AVERAGE(L6:L14),1)</f>
        <v>27.2</v>
      </c>
      <c r="M15" s="11">
        <f>ROUND(STDEV(L6:L14),1)</f>
        <v>4.7</v>
      </c>
      <c r="N15" s="11">
        <f>ROUND(AVERAGE(N6:N14),1)</f>
        <v>109</v>
      </c>
      <c r="O15" s="12">
        <f>ROUND(STDEV(N6:N14),1)</f>
        <v>18.7</v>
      </c>
    </row>
    <row r="17" spans="1:16">
      <c r="A17" s="296"/>
      <c r="B17" s="296"/>
      <c r="C17" s="296"/>
      <c r="D17" s="296"/>
      <c r="E17" s="296"/>
      <c r="F17" s="296"/>
      <c r="G17" s="296"/>
      <c r="H17" s="296"/>
      <c r="I17" s="296"/>
      <c r="J17" s="301"/>
      <c r="K17" s="301"/>
      <c r="L17" s="301"/>
      <c r="M17" s="301"/>
      <c r="N17" s="301"/>
      <c r="O17" s="301"/>
      <c r="P17" s="296"/>
    </row>
    <row r="19" spans="1:16">
      <c r="A19" s="19" t="s">
        <v>803</v>
      </c>
      <c r="B19" s="29" t="s">
        <v>598</v>
      </c>
      <c r="C19" s="29" t="s">
        <v>960</v>
      </c>
      <c r="D19" s="19" t="s">
        <v>929</v>
      </c>
      <c r="E19" s="19" t="s">
        <v>930</v>
      </c>
      <c r="F19" s="34" t="s">
        <v>813</v>
      </c>
      <c r="G19" s="19" t="s">
        <v>1046</v>
      </c>
      <c r="H19" s="19" t="s">
        <v>701</v>
      </c>
      <c r="I19" s="19" t="s">
        <v>712</v>
      </c>
      <c r="J19" s="83">
        <v>40</v>
      </c>
      <c r="K19" s="83">
        <v>8</v>
      </c>
      <c r="L19" s="83">
        <v>70</v>
      </c>
      <c r="M19" s="83">
        <v>21</v>
      </c>
      <c r="N19" s="83">
        <v>28</v>
      </c>
      <c r="O19" s="83">
        <v>6</v>
      </c>
      <c r="P19" s="19" t="s">
        <v>683</v>
      </c>
    </row>
    <row r="20" spans="1:16">
      <c r="A20" s="19" t="s">
        <v>803</v>
      </c>
      <c r="B20" s="29" t="s">
        <v>598</v>
      </c>
      <c r="C20" s="29" t="s">
        <v>960</v>
      </c>
      <c r="D20" s="19" t="s">
        <v>929</v>
      </c>
      <c r="E20" s="19" t="s">
        <v>930</v>
      </c>
      <c r="F20" s="34" t="s">
        <v>813</v>
      </c>
      <c r="G20" s="19" t="s">
        <v>1046</v>
      </c>
      <c r="H20" s="19" t="s">
        <v>701</v>
      </c>
      <c r="I20" s="19" t="s">
        <v>712</v>
      </c>
      <c r="J20" s="83">
        <v>52</v>
      </c>
      <c r="K20" s="83">
        <v>6</v>
      </c>
      <c r="L20" s="83">
        <v>85</v>
      </c>
      <c r="M20" s="83">
        <v>14</v>
      </c>
      <c r="N20" s="83">
        <v>44</v>
      </c>
      <c r="O20" s="83">
        <v>5</v>
      </c>
      <c r="P20" s="19" t="s">
        <v>1076</v>
      </c>
    </row>
    <row r="21" spans="1:16" ht="14" thickBot="1">
      <c r="A21" s="19" t="s">
        <v>803</v>
      </c>
      <c r="B21" s="29" t="s">
        <v>598</v>
      </c>
      <c r="C21" s="29" t="s">
        <v>960</v>
      </c>
      <c r="D21" s="19" t="s">
        <v>929</v>
      </c>
      <c r="E21" s="19" t="s">
        <v>930</v>
      </c>
      <c r="F21" s="34" t="s">
        <v>813</v>
      </c>
      <c r="G21" s="19" t="s">
        <v>1046</v>
      </c>
      <c r="H21" s="19" t="s">
        <v>701</v>
      </c>
      <c r="I21" s="38" t="s">
        <v>712</v>
      </c>
      <c r="J21" s="84">
        <v>44</v>
      </c>
      <c r="K21" s="84">
        <v>3</v>
      </c>
      <c r="L21" s="84">
        <v>89</v>
      </c>
      <c r="M21" s="84">
        <v>9</v>
      </c>
      <c r="N21" s="84">
        <v>39</v>
      </c>
      <c r="O21" s="84">
        <v>3</v>
      </c>
      <c r="P21" s="19" t="s">
        <v>477</v>
      </c>
    </row>
    <row r="22" spans="1:16" ht="14" thickBot="1">
      <c r="I22" s="39" t="s">
        <v>393</v>
      </c>
      <c r="J22" s="10">
        <f>ROUND(AVERAGE(J19:J21),1)</f>
        <v>45.3</v>
      </c>
      <c r="K22" s="11">
        <f>ROUND(STDEV(J19:J21),1)</f>
        <v>6.1</v>
      </c>
      <c r="L22" s="11">
        <f>ROUND(AVERAGE(L19:L21),1)</f>
        <v>81.3</v>
      </c>
      <c r="M22" s="11">
        <f>ROUND(STDEV(L19:L21),1)</f>
        <v>10</v>
      </c>
      <c r="N22" s="11">
        <f>AVERAGE(N19:N21)</f>
        <v>37</v>
      </c>
      <c r="O22" s="12">
        <f>ROUND(STDEV(N19:N21),1)</f>
        <v>8.1999999999999993</v>
      </c>
    </row>
    <row r="24" spans="1:16">
      <c r="A24" s="296"/>
      <c r="B24" s="296"/>
      <c r="C24" s="296"/>
      <c r="D24" s="296"/>
      <c r="E24" s="296"/>
      <c r="F24" s="296"/>
      <c r="G24" s="296"/>
      <c r="H24" s="296"/>
      <c r="I24" s="296"/>
      <c r="J24" s="301"/>
      <c r="K24" s="301"/>
      <c r="L24" s="301"/>
      <c r="M24" s="301"/>
      <c r="N24" s="301"/>
      <c r="O24" s="301"/>
      <c r="P24" s="296"/>
    </row>
    <row r="26" spans="1:16">
      <c r="A26" s="19" t="s">
        <v>277</v>
      </c>
      <c r="B26" s="29" t="s">
        <v>854</v>
      </c>
      <c r="C26" s="29" t="s">
        <v>618</v>
      </c>
      <c r="D26" s="19" t="s">
        <v>619</v>
      </c>
      <c r="E26" s="19">
        <v>2006</v>
      </c>
      <c r="F26" s="19" t="s">
        <v>1046</v>
      </c>
      <c r="G26" s="19" t="s">
        <v>1046</v>
      </c>
      <c r="H26" s="19" t="s">
        <v>701</v>
      </c>
      <c r="I26" s="19" t="s">
        <v>2050</v>
      </c>
      <c r="J26" s="83" t="s">
        <v>1046</v>
      </c>
      <c r="K26" s="83" t="s">
        <v>1046</v>
      </c>
      <c r="L26" s="83" t="s">
        <v>1046</v>
      </c>
      <c r="M26" s="83" t="s">
        <v>1046</v>
      </c>
      <c r="N26" s="88">
        <v>328</v>
      </c>
      <c r="O26" s="88">
        <v>177</v>
      </c>
      <c r="P26" s="19" t="s">
        <v>656</v>
      </c>
    </row>
    <row r="27" spans="1:16">
      <c r="A27" s="19" t="s">
        <v>277</v>
      </c>
      <c r="B27" s="29" t="s">
        <v>854</v>
      </c>
      <c r="C27" s="29" t="s">
        <v>618</v>
      </c>
      <c r="D27" s="19" t="s">
        <v>619</v>
      </c>
      <c r="E27" s="19">
        <v>2006</v>
      </c>
      <c r="F27" s="19" t="s">
        <v>1046</v>
      </c>
      <c r="G27" s="19" t="s">
        <v>1046</v>
      </c>
      <c r="H27" s="19" t="s">
        <v>701</v>
      </c>
      <c r="I27" s="19" t="s">
        <v>2050</v>
      </c>
      <c r="J27" s="83" t="s">
        <v>1046</v>
      </c>
      <c r="K27" s="83" t="s">
        <v>1046</v>
      </c>
      <c r="L27" s="83" t="s">
        <v>1046</v>
      </c>
      <c r="M27" s="83" t="s">
        <v>1046</v>
      </c>
      <c r="N27" s="88">
        <v>328</v>
      </c>
      <c r="O27" s="88">
        <v>185</v>
      </c>
      <c r="P27" s="19" t="s">
        <v>657</v>
      </c>
    </row>
    <row r="28" spans="1:16" ht="14" thickBot="1">
      <c r="A28" s="19" t="s">
        <v>277</v>
      </c>
      <c r="B28" s="29" t="s">
        <v>854</v>
      </c>
      <c r="C28" s="29" t="s">
        <v>618</v>
      </c>
      <c r="D28" s="19" t="s">
        <v>619</v>
      </c>
      <c r="E28" s="19">
        <v>2006</v>
      </c>
      <c r="F28" s="19" t="s">
        <v>1046</v>
      </c>
      <c r="G28" s="19" t="s">
        <v>1046</v>
      </c>
      <c r="H28" s="19" t="s">
        <v>701</v>
      </c>
      <c r="I28" s="38" t="s">
        <v>2050</v>
      </c>
      <c r="J28" s="84" t="s">
        <v>1046</v>
      </c>
      <c r="K28" s="84" t="s">
        <v>1046</v>
      </c>
      <c r="L28" s="84" t="s">
        <v>1046</v>
      </c>
      <c r="M28" s="84" t="s">
        <v>1046</v>
      </c>
      <c r="N28" s="89">
        <v>339</v>
      </c>
      <c r="O28" s="89">
        <v>180</v>
      </c>
      <c r="P28" s="19" t="s">
        <v>791</v>
      </c>
    </row>
    <row r="29" spans="1:16" ht="16" thickBot="1">
      <c r="A29" s="35"/>
      <c r="B29" s="5"/>
      <c r="C29" s="5"/>
      <c r="D29" s="3"/>
      <c r="E29" s="3"/>
      <c r="F29" s="3"/>
      <c r="G29" s="3"/>
      <c r="H29" s="3"/>
      <c r="I29" s="40" t="s">
        <v>396</v>
      </c>
      <c r="J29" s="36" t="s">
        <v>868</v>
      </c>
      <c r="K29" s="11" t="s">
        <v>868</v>
      </c>
      <c r="L29" s="11" t="s">
        <v>868</v>
      </c>
      <c r="M29" s="11" t="s">
        <v>868</v>
      </c>
      <c r="N29" s="32">
        <f>ROUND(AVERAGE(N26:N28),1)</f>
        <v>331.7</v>
      </c>
      <c r="O29" s="33">
        <f>ROUND(STDEV(N26:N28),1)</f>
        <v>6.4</v>
      </c>
      <c r="P29" s="3"/>
    </row>
    <row r="31" spans="1:16">
      <c r="A31" s="296"/>
      <c r="B31" s="296"/>
      <c r="C31" s="296"/>
      <c r="D31" s="296"/>
      <c r="E31" s="296"/>
      <c r="F31" s="296"/>
      <c r="G31" s="296"/>
      <c r="H31" s="296"/>
      <c r="I31" s="296"/>
      <c r="J31" s="301"/>
      <c r="K31" s="301"/>
      <c r="L31" s="301"/>
      <c r="M31" s="301"/>
      <c r="N31" s="301"/>
      <c r="O31" s="301"/>
      <c r="P31" s="296"/>
    </row>
    <row r="33" spans="1:16">
      <c r="A33" s="321"/>
      <c r="B33" s="321"/>
      <c r="C33" s="321"/>
      <c r="D33" s="321"/>
      <c r="E33" s="317"/>
      <c r="F33" s="317"/>
      <c r="G33" s="317"/>
      <c r="H33" s="321"/>
      <c r="I33" s="321"/>
      <c r="J33" s="317"/>
      <c r="K33" s="317"/>
      <c r="L33" s="317"/>
      <c r="M33" s="317"/>
      <c r="N33" s="317"/>
      <c r="O33" s="317"/>
      <c r="P33" s="321"/>
    </row>
    <row r="34" spans="1:16" ht="14" thickBot="1"/>
    <row r="35" spans="1:16" ht="14" thickBot="1">
      <c r="A35" s="544" t="s">
        <v>2171</v>
      </c>
      <c r="B35" s="544" t="s">
        <v>1046</v>
      </c>
      <c r="C35" s="544" t="s">
        <v>1046</v>
      </c>
      <c r="D35" s="544" t="s">
        <v>2172</v>
      </c>
      <c r="E35" s="544" t="s">
        <v>1046</v>
      </c>
      <c r="F35" s="544" t="s">
        <v>1046</v>
      </c>
      <c r="G35" s="544" t="s">
        <v>1046</v>
      </c>
      <c r="H35" s="616" t="s">
        <v>701</v>
      </c>
      <c r="I35" s="615" t="s">
        <v>2173</v>
      </c>
      <c r="J35" s="550">
        <v>128</v>
      </c>
      <c r="K35" s="550" t="s">
        <v>1046</v>
      </c>
      <c r="L35" s="550" t="s">
        <v>1046</v>
      </c>
      <c r="M35" s="550" t="s">
        <v>1046</v>
      </c>
      <c r="N35" s="550" t="s">
        <v>1046</v>
      </c>
      <c r="O35" s="551" t="s">
        <v>1046</v>
      </c>
      <c r="P35" s="617"/>
    </row>
    <row r="37" spans="1:16">
      <c r="A37" s="321"/>
      <c r="B37" s="321"/>
      <c r="C37" s="321"/>
      <c r="D37" s="321"/>
      <c r="E37" s="317"/>
      <c r="F37" s="317"/>
      <c r="G37" s="317"/>
      <c r="H37" s="321"/>
      <c r="I37" s="321"/>
      <c r="J37" s="317"/>
      <c r="K37" s="317"/>
      <c r="L37" s="317"/>
      <c r="M37" s="317"/>
      <c r="N37" s="317"/>
      <c r="O37" s="317"/>
      <c r="P37" s="321"/>
    </row>
    <row r="40" spans="1:16" ht="14" thickBot="1"/>
    <row r="41" spans="1:16" ht="14" thickBot="1">
      <c r="A41" s="609" t="s">
        <v>2090</v>
      </c>
      <c r="B41" s="610"/>
      <c r="C41" s="610"/>
      <c r="D41" s="539"/>
      <c r="I41" s="355" t="s">
        <v>1770</v>
      </c>
      <c r="J41" s="353">
        <v>399.2</v>
      </c>
      <c r="K41" s="353">
        <v>11</v>
      </c>
      <c r="L41" s="353">
        <f>L15</f>
        <v>27.2</v>
      </c>
      <c r="M41" s="353" t="s">
        <v>1908</v>
      </c>
      <c r="N41" s="353">
        <f>ROUND(AVERAGE(N2,N15,N29),1)</f>
        <v>313.60000000000002</v>
      </c>
      <c r="O41" s="354">
        <f>ROUND(STDEV(N2,N15,N29),1)</f>
        <v>196.1</v>
      </c>
    </row>
    <row r="42" spans="1:16" ht="14" thickBot="1">
      <c r="A42" s="611" t="s">
        <v>2065</v>
      </c>
      <c r="B42" s="612"/>
      <c r="C42" s="612"/>
      <c r="D42" s="542"/>
      <c r="I42" s="356" t="s">
        <v>1770</v>
      </c>
      <c r="J42" s="357">
        <f>ROUND(AVERAGE(N2,J15,N29),1)</f>
        <v>410.3</v>
      </c>
      <c r="K42" s="357">
        <f>ROUND(STDEV(N2,J15,N29),1)</f>
        <v>84.7</v>
      </c>
      <c r="L42" s="357" t="s">
        <v>1771</v>
      </c>
      <c r="M42" s="357" t="s">
        <v>1908</v>
      </c>
      <c r="N42" s="357">
        <f>N41</f>
        <v>313.60000000000002</v>
      </c>
      <c r="O42" s="358">
        <f>O41</f>
        <v>196.1</v>
      </c>
    </row>
    <row r="43" spans="1:16" ht="14" thickBot="1">
      <c r="I43" s="359" t="s">
        <v>1770</v>
      </c>
      <c r="J43" s="360">
        <f>ROUND(AVERAGE((N2/0.272),N15,(N29/0.272)),1)</f>
        <v>1055.5999999999999</v>
      </c>
      <c r="K43" s="360">
        <f>ROUND(STDEV((N2/0.272),N15,(N29/0.272)),1)</f>
        <v>876.2</v>
      </c>
      <c r="L43" s="360">
        <v>27.2</v>
      </c>
      <c r="M43" s="360" t="s">
        <v>1908</v>
      </c>
      <c r="N43" s="360">
        <f>N42</f>
        <v>313.60000000000002</v>
      </c>
      <c r="O43" s="361">
        <f>O42</f>
        <v>196.1</v>
      </c>
    </row>
    <row r="44" spans="1:16" ht="14" thickBot="1"/>
    <row r="45" spans="1:16" ht="14" thickBot="1">
      <c r="I45" s="645" t="s">
        <v>2174</v>
      </c>
      <c r="J45" s="440">
        <f>AVERAGE(J15,J35)</f>
        <v>263.60000000000002</v>
      </c>
      <c r="K45" s="646" t="s">
        <v>1046</v>
      </c>
      <c r="L45" s="440">
        <v>27.2</v>
      </c>
      <c r="M45" s="646" t="s">
        <v>1046</v>
      </c>
      <c r="N45" s="440">
        <v>313.60000000000002</v>
      </c>
      <c r="O45" s="441">
        <v>196.1</v>
      </c>
    </row>
    <row r="46" spans="1:16" ht="14" thickBot="1"/>
    <row r="47" spans="1:16" ht="14" thickBot="1">
      <c r="I47" s="536" t="s">
        <v>1669</v>
      </c>
      <c r="J47" s="367">
        <f>ROUND(AVERAGE(J19:J21),1)</f>
        <v>45.3</v>
      </c>
      <c r="K47" s="367">
        <v>6.1</v>
      </c>
      <c r="L47" s="367">
        <v>81.3</v>
      </c>
      <c r="M47" s="367">
        <v>10</v>
      </c>
      <c r="N47" s="367">
        <v>37</v>
      </c>
      <c r="O47" s="368">
        <v>8.1999999999999993</v>
      </c>
    </row>
  </sheetData>
  <phoneticPr fontId="17" type="noConversion"/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2"/>
  <sheetViews>
    <sheetView workbookViewId="0">
      <pane xSplit="9" ySplit="1" topLeftCell="J4" activePane="bottomRight" state="frozen"/>
      <selection pane="topRight" activeCell="J1" sqref="J1"/>
      <selection pane="bottomLeft" activeCell="A2" sqref="A2"/>
      <selection pane="bottomRight" activeCell="A18" sqref="A18:D19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5" s="7" customFormat="1" ht="32" customHeigh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17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2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>
      <c r="A2" s="19" t="s">
        <v>673</v>
      </c>
      <c r="B2" s="20" t="s">
        <v>804</v>
      </c>
      <c r="C2" s="20" t="s">
        <v>805</v>
      </c>
      <c r="D2" s="21" t="s">
        <v>806</v>
      </c>
      <c r="E2" s="22">
        <v>1999</v>
      </c>
      <c r="F2" s="22">
        <v>3</v>
      </c>
      <c r="G2" s="22" t="s">
        <v>1046</v>
      </c>
      <c r="H2" s="21" t="s">
        <v>1047</v>
      </c>
      <c r="I2" s="8" t="s">
        <v>605</v>
      </c>
      <c r="J2" s="83" t="s">
        <v>1046</v>
      </c>
      <c r="K2" s="83" t="s">
        <v>1046</v>
      </c>
      <c r="L2" s="83" t="s">
        <v>1046</v>
      </c>
      <c r="M2" s="83" t="s">
        <v>1046</v>
      </c>
      <c r="N2" s="83">
        <v>42</v>
      </c>
      <c r="O2" s="83">
        <v>22</v>
      </c>
      <c r="P2" s="21" t="s">
        <v>1001</v>
      </c>
    </row>
    <row r="3" spans="1:125">
      <c r="A3" s="19" t="s">
        <v>673</v>
      </c>
      <c r="B3" s="20" t="s">
        <v>804</v>
      </c>
      <c r="C3" s="20" t="s">
        <v>805</v>
      </c>
      <c r="D3" s="21" t="s">
        <v>806</v>
      </c>
      <c r="E3" s="22">
        <v>1999</v>
      </c>
      <c r="F3" s="22">
        <v>3</v>
      </c>
      <c r="G3" s="22" t="s">
        <v>1046</v>
      </c>
      <c r="H3" s="21" t="s">
        <v>1047</v>
      </c>
      <c r="I3" s="8" t="s">
        <v>606</v>
      </c>
      <c r="J3" s="83" t="s">
        <v>1046</v>
      </c>
      <c r="K3" s="83" t="s">
        <v>1046</v>
      </c>
      <c r="L3" s="83" t="s">
        <v>1046</v>
      </c>
      <c r="M3" s="83" t="s">
        <v>1046</v>
      </c>
      <c r="N3" s="83">
        <v>11</v>
      </c>
      <c r="O3" s="83">
        <v>3</v>
      </c>
      <c r="P3" s="21" t="s">
        <v>735</v>
      </c>
    </row>
    <row r="4" spans="1:125">
      <c r="A4" s="19" t="s">
        <v>673</v>
      </c>
      <c r="B4" s="20" t="s">
        <v>804</v>
      </c>
      <c r="C4" s="20" t="s">
        <v>805</v>
      </c>
      <c r="D4" s="21" t="s">
        <v>806</v>
      </c>
      <c r="E4" s="22">
        <v>1999</v>
      </c>
      <c r="F4" s="22">
        <v>3</v>
      </c>
      <c r="G4" s="22" t="s">
        <v>1046</v>
      </c>
      <c r="H4" s="21" t="s">
        <v>1047</v>
      </c>
      <c r="I4" s="8" t="s">
        <v>606</v>
      </c>
      <c r="J4" s="83" t="s">
        <v>1046</v>
      </c>
      <c r="K4" s="83" t="s">
        <v>1046</v>
      </c>
      <c r="L4" s="83" t="s">
        <v>1046</v>
      </c>
      <c r="M4" s="83" t="s">
        <v>1046</v>
      </c>
      <c r="N4" s="83">
        <v>72</v>
      </c>
      <c r="O4" s="83">
        <v>26</v>
      </c>
      <c r="P4" s="21" t="s">
        <v>866</v>
      </c>
    </row>
    <row r="5" spans="1:125" ht="14" thickBot="1">
      <c r="A5" s="19" t="s">
        <v>673</v>
      </c>
      <c r="B5" s="20" t="s">
        <v>804</v>
      </c>
      <c r="C5" s="20" t="s">
        <v>805</v>
      </c>
      <c r="D5" s="21" t="s">
        <v>806</v>
      </c>
      <c r="E5" s="22">
        <v>1999</v>
      </c>
      <c r="F5" s="22">
        <v>3</v>
      </c>
      <c r="G5" s="22" t="s">
        <v>1046</v>
      </c>
      <c r="H5" s="21" t="s">
        <v>1047</v>
      </c>
      <c r="I5" s="25" t="s">
        <v>606</v>
      </c>
      <c r="J5" s="84" t="s">
        <v>1046</v>
      </c>
      <c r="K5" s="84" t="s">
        <v>1046</v>
      </c>
      <c r="L5" s="84" t="s">
        <v>1046</v>
      </c>
      <c r="M5" s="84" t="s">
        <v>1046</v>
      </c>
      <c r="N5" s="84">
        <v>43</v>
      </c>
      <c r="O5" s="84">
        <v>20</v>
      </c>
      <c r="P5" s="21" t="s">
        <v>867</v>
      </c>
    </row>
    <row r="6" spans="1:125" ht="14" thickBot="1">
      <c r="I6" s="42" t="s">
        <v>394</v>
      </c>
      <c r="J6" s="10" t="s">
        <v>868</v>
      </c>
      <c r="K6" s="11" t="s">
        <v>868</v>
      </c>
      <c r="L6" s="11" t="s">
        <v>868</v>
      </c>
      <c r="M6" s="11" t="s">
        <v>868</v>
      </c>
      <c r="N6" s="11">
        <f>AVERAGE(N2:N5)</f>
        <v>42</v>
      </c>
      <c r="O6" s="12">
        <f>ROUND(STDEV(N2:N5),1)</f>
        <v>24.9</v>
      </c>
    </row>
    <row r="8" spans="1:125">
      <c r="A8" s="296"/>
      <c r="B8" s="296"/>
      <c r="C8" s="296"/>
      <c r="D8" s="296"/>
      <c r="E8" s="296"/>
      <c r="F8" s="296"/>
      <c r="G8" s="296"/>
      <c r="H8" s="296"/>
      <c r="I8" s="296"/>
      <c r="J8" s="301"/>
      <c r="K8" s="301"/>
      <c r="L8" s="301"/>
      <c r="M8" s="301"/>
      <c r="N8" s="301"/>
      <c r="O8" s="301"/>
      <c r="P8" s="296"/>
    </row>
    <row r="10" spans="1:125">
      <c r="A10" s="19" t="s">
        <v>1319</v>
      </c>
      <c r="B10" s="20" t="s">
        <v>1320</v>
      </c>
      <c r="C10" s="20" t="s">
        <v>1321</v>
      </c>
      <c r="D10" s="21" t="s">
        <v>1225</v>
      </c>
      <c r="E10" s="22">
        <v>2001</v>
      </c>
      <c r="F10" s="24" t="s">
        <v>873</v>
      </c>
      <c r="G10" s="22" t="s">
        <v>1046</v>
      </c>
      <c r="H10" s="21" t="s">
        <v>1047</v>
      </c>
      <c r="I10" s="85" t="s">
        <v>1035</v>
      </c>
      <c r="J10" s="83" t="s">
        <v>1046</v>
      </c>
      <c r="K10" s="83" t="s">
        <v>1046</v>
      </c>
      <c r="L10" s="83" t="s">
        <v>1046</v>
      </c>
      <c r="M10" s="83" t="s">
        <v>1046</v>
      </c>
      <c r="N10" s="83">
        <v>29</v>
      </c>
      <c r="O10" s="83">
        <v>2</v>
      </c>
      <c r="P10" s="21" t="s">
        <v>874</v>
      </c>
    </row>
    <row r="11" spans="1:125" ht="14" thickBot="1">
      <c r="A11" s="19" t="s">
        <v>1319</v>
      </c>
      <c r="B11" s="20" t="s">
        <v>1320</v>
      </c>
      <c r="C11" s="20" t="s">
        <v>1321</v>
      </c>
      <c r="D11" s="21" t="s">
        <v>1225</v>
      </c>
      <c r="E11" s="22">
        <v>2001</v>
      </c>
      <c r="F11" s="24" t="s">
        <v>873</v>
      </c>
      <c r="G11" s="22" t="s">
        <v>1046</v>
      </c>
      <c r="H11" s="21" t="s">
        <v>1047</v>
      </c>
      <c r="I11" s="86" t="s">
        <v>925</v>
      </c>
      <c r="J11" s="84" t="s">
        <v>1046</v>
      </c>
      <c r="K11" s="84" t="s">
        <v>1046</v>
      </c>
      <c r="L11" s="84" t="s">
        <v>1046</v>
      </c>
      <c r="M11" s="84" t="s">
        <v>1046</v>
      </c>
      <c r="N11" s="84">
        <v>56</v>
      </c>
      <c r="O11" s="84">
        <v>6</v>
      </c>
      <c r="P11" s="21" t="s">
        <v>875</v>
      </c>
    </row>
    <row r="12" spans="1:125" ht="14" thickBot="1">
      <c r="I12" s="42" t="s">
        <v>395</v>
      </c>
      <c r="J12" s="10" t="s">
        <v>868</v>
      </c>
      <c r="K12" s="11" t="s">
        <v>868</v>
      </c>
      <c r="L12" s="11" t="s">
        <v>868</v>
      </c>
      <c r="M12" s="11" t="s">
        <v>868</v>
      </c>
      <c r="N12" s="11">
        <f>AVERAGE(N10:N11)</f>
        <v>42.5</v>
      </c>
      <c r="O12" s="12" t="s">
        <v>868</v>
      </c>
    </row>
    <row r="14" spans="1:125">
      <c r="A14" s="296"/>
      <c r="B14" s="296"/>
      <c r="C14" s="296"/>
      <c r="D14" s="296"/>
      <c r="E14" s="296"/>
      <c r="F14" s="296"/>
      <c r="G14" s="296"/>
      <c r="H14" s="296"/>
      <c r="I14" s="296"/>
      <c r="J14" s="301"/>
      <c r="K14" s="301"/>
      <c r="L14" s="301"/>
      <c r="M14" s="301"/>
      <c r="N14" s="301"/>
      <c r="O14" s="301"/>
      <c r="P14" s="296"/>
    </row>
    <row r="17" spans="1:15" ht="14" thickBot="1"/>
    <row r="18" spans="1:15" ht="14" thickBot="1">
      <c r="A18" s="609" t="s">
        <v>2090</v>
      </c>
      <c r="B18" s="610"/>
      <c r="C18" s="610"/>
      <c r="D18" s="539"/>
      <c r="I18" s="355" t="s">
        <v>1909</v>
      </c>
      <c r="J18" s="353" t="s">
        <v>1907</v>
      </c>
      <c r="K18" s="353" t="s">
        <v>1907</v>
      </c>
      <c r="L18" s="353" t="s">
        <v>1907</v>
      </c>
      <c r="M18" s="353" t="s">
        <v>1907</v>
      </c>
      <c r="N18" s="353">
        <f>AVERAGE(N2,N3)</f>
        <v>26.5</v>
      </c>
      <c r="O18" s="354" t="s">
        <v>1907</v>
      </c>
    </row>
    <row r="19" spans="1:15" ht="14" thickBot="1">
      <c r="A19" s="611" t="s">
        <v>2065</v>
      </c>
      <c r="B19" s="612"/>
      <c r="C19" s="612"/>
      <c r="D19" s="542"/>
      <c r="I19" s="356" t="s">
        <v>1668</v>
      </c>
      <c r="J19" s="357" t="s">
        <v>1907</v>
      </c>
      <c r="K19" s="357" t="s">
        <v>1907</v>
      </c>
      <c r="L19" s="357" t="s">
        <v>1907</v>
      </c>
      <c r="M19" s="357" t="s">
        <v>1907</v>
      </c>
      <c r="N19" s="357">
        <f>AVERAGE(N4,N5)</f>
        <v>57.5</v>
      </c>
      <c r="O19" s="358" t="s">
        <v>1907</v>
      </c>
    </row>
    <row r="20" spans="1:15">
      <c r="I20" s="356" t="s">
        <v>1910</v>
      </c>
      <c r="J20" s="357" t="s">
        <v>1907</v>
      </c>
      <c r="K20" s="357" t="s">
        <v>1907</v>
      </c>
      <c r="L20" s="357" t="s">
        <v>1907</v>
      </c>
      <c r="M20" s="357" t="s">
        <v>1907</v>
      </c>
      <c r="N20" s="357">
        <f>N10</f>
        <v>29</v>
      </c>
      <c r="O20" s="358">
        <f>O10</f>
        <v>2</v>
      </c>
    </row>
    <row r="21" spans="1:15">
      <c r="I21" s="356" t="s">
        <v>1732</v>
      </c>
      <c r="J21" s="357" t="s">
        <v>1907</v>
      </c>
      <c r="K21" s="357" t="s">
        <v>1907</v>
      </c>
      <c r="L21" s="357" t="s">
        <v>1907</v>
      </c>
      <c r="M21" s="357" t="s">
        <v>1907</v>
      </c>
      <c r="N21" s="357">
        <f>N11</f>
        <v>56</v>
      </c>
      <c r="O21" s="358">
        <f>O11</f>
        <v>6</v>
      </c>
    </row>
    <row r="22" spans="1:15" ht="14" thickBot="1">
      <c r="I22" s="359" t="s">
        <v>1667</v>
      </c>
      <c r="J22" s="360" t="s">
        <v>1907</v>
      </c>
      <c r="K22" s="360" t="s">
        <v>1907</v>
      </c>
      <c r="L22" s="360" t="s">
        <v>1907</v>
      </c>
      <c r="M22" s="360" t="s">
        <v>1907</v>
      </c>
      <c r="N22" s="360">
        <f>ROUND(AVERAGE(N6,N12),1)</f>
        <v>42.3</v>
      </c>
      <c r="O22" s="361" t="s">
        <v>1907</v>
      </c>
    </row>
  </sheetData>
  <phoneticPr fontId="17" type="noConversion"/>
  <pageMargins left="0.75" right="0.75" top="1" bottom="1" header="0.5" footer="0.5"/>
  <pageSetup paperSize="9" orientation="portrait" horizontalDpi="4294967292" verticalDpi="4294967292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9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K13" sqref="K13"/>
    </sheetView>
  </sheetViews>
  <sheetFormatPr baseColWidth="10" defaultRowHeight="13" x14ac:dyDescent="0"/>
  <cols>
    <col min="1" max="1" width="14" customWidth="1"/>
    <col min="2" max="2" width="8" customWidth="1"/>
    <col min="3" max="3" width="8.140625" customWidth="1"/>
    <col min="4" max="4" width="25.7109375" customWidth="1"/>
    <col min="5" max="5" width="6.42578125" customWidth="1"/>
    <col min="6" max="6" width="5.85546875" customWidth="1"/>
    <col min="7" max="7" width="4.7109375" customWidth="1"/>
    <col min="8" max="8" width="11.5703125" customWidth="1"/>
    <col min="9" max="9" width="22.140625" customWidth="1"/>
    <col min="10" max="15" width="10.7109375" style="4"/>
    <col min="16" max="16" width="53.28515625" customWidth="1"/>
  </cols>
  <sheetData>
    <row r="1" spans="1:125" s="7" customFormat="1" ht="32" customHeight="1" thickBot="1">
      <c r="A1" s="17" t="s">
        <v>807</v>
      </c>
      <c r="B1" s="17" t="s">
        <v>808</v>
      </c>
      <c r="C1" s="17" t="s">
        <v>809</v>
      </c>
      <c r="D1" s="17" t="s">
        <v>810</v>
      </c>
      <c r="E1" s="17" t="s">
        <v>1064</v>
      </c>
      <c r="F1" s="17" t="s">
        <v>1065</v>
      </c>
      <c r="G1" s="17" t="s">
        <v>937</v>
      </c>
      <c r="H1" s="17" t="s">
        <v>938</v>
      </c>
      <c r="I1" s="41" t="s">
        <v>941</v>
      </c>
      <c r="J1" s="18" t="s">
        <v>784</v>
      </c>
      <c r="K1" s="18" t="s">
        <v>785</v>
      </c>
      <c r="L1" s="18" t="s">
        <v>939</v>
      </c>
      <c r="M1" s="18" t="s">
        <v>786</v>
      </c>
      <c r="N1" s="18" t="s">
        <v>787</v>
      </c>
      <c r="O1" s="18" t="s">
        <v>788</v>
      </c>
      <c r="P1" s="17" t="s">
        <v>940</v>
      </c>
      <c r="Q1" s="2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14" thickBot="1">
      <c r="A2" s="13" t="s">
        <v>812</v>
      </c>
      <c r="B2" s="13" t="s">
        <v>789</v>
      </c>
      <c r="C2" s="13" t="s">
        <v>790</v>
      </c>
      <c r="D2" s="13" t="s">
        <v>798</v>
      </c>
      <c r="E2" s="13">
        <v>2007</v>
      </c>
      <c r="F2" s="13" t="s">
        <v>1045</v>
      </c>
      <c r="G2" s="14" t="s">
        <v>1046</v>
      </c>
      <c r="H2" s="15" t="s">
        <v>1047</v>
      </c>
      <c r="I2" s="43" t="s">
        <v>1070</v>
      </c>
      <c r="J2" s="10">
        <v>165</v>
      </c>
      <c r="K2" s="11">
        <v>15</v>
      </c>
      <c r="L2" s="11">
        <v>24</v>
      </c>
      <c r="M2" s="11">
        <v>5</v>
      </c>
      <c r="N2" s="11">
        <v>40</v>
      </c>
      <c r="O2" s="12">
        <v>9</v>
      </c>
      <c r="P2" s="16" t="s">
        <v>372</v>
      </c>
    </row>
    <row r="4" spans="1:125">
      <c r="A4" s="296"/>
      <c r="B4" s="296"/>
      <c r="C4" s="296"/>
      <c r="D4" s="296"/>
      <c r="E4" s="296"/>
      <c r="F4" s="296"/>
      <c r="G4" s="296"/>
      <c r="H4" s="296"/>
      <c r="I4" s="296"/>
      <c r="J4" s="301"/>
      <c r="K4" s="301"/>
      <c r="L4" s="301"/>
      <c r="M4" s="301"/>
      <c r="N4" s="301"/>
      <c r="O4" s="301"/>
      <c r="P4" s="296"/>
    </row>
    <row r="7" spans="1:125" ht="14" thickBot="1"/>
    <row r="8" spans="1:125" ht="14" thickBot="1">
      <c r="A8" s="609" t="s">
        <v>2090</v>
      </c>
      <c r="B8" s="610"/>
      <c r="C8" s="610"/>
      <c r="D8" s="539"/>
      <c r="I8" s="641" t="s">
        <v>1070</v>
      </c>
      <c r="J8" s="642">
        <v>165</v>
      </c>
      <c r="K8" s="643">
        <v>15</v>
      </c>
      <c r="L8" s="643">
        <v>24</v>
      </c>
      <c r="M8" s="643">
        <v>5</v>
      </c>
      <c r="N8" s="643">
        <v>40</v>
      </c>
      <c r="O8" s="644">
        <v>9</v>
      </c>
    </row>
    <row r="9" spans="1:125" ht="14" thickBot="1">
      <c r="A9" s="611" t="s">
        <v>2065</v>
      </c>
      <c r="B9" s="612"/>
      <c r="C9" s="612"/>
      <c r="D9" s="542"/>
    </row>
  </sheetData>
  <phoneticPr fontId="1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Savanna</vt:lpstr>
      <vt:lpstr>Tropical Forest</vt:lpstr>
      <vt:lpstr>Temperate Forest</vt:lpstr>
      <vt:lpstr>Boreal Forest</vt:lpstr>
      <vt:lpstr>Pasture</vt:lpstr>
      <vt:lpstr>Shifting Cultivation</vt:lpstr>
      <vt:lpstr>Crop Residue</vt:lpstr>
      <vt:lpstr>Chaparral</vt:lpstr>
      <vt:lpstr>Tropical Peat</vt:lpstr>
      <vt:lpstr>Boreal Peat</vt:lpstr>
      <vt:lpstr>Tundra</vt:lpstr>
    </vt:vector>
  </TitlesOfParts>
  <Company>Vrije Universiteit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 van leeuwen</dc:creator>
  <cp:lastModifiedBy>Thijs van Leeuwen</cp:lastModifiedBy>
  <dcterms:created xsi:type="dcterms:W3CDTF">2013-12-10T11:03:39Z</dcterms:created>
  <dcterms:modified xsi:type="dcterms:W3CDTF">2014-12-17T10:41:16Z</dcterms:modified>
</cp:coreProperties>
</file>